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5.xml" ContentType="application/vnd.openxmlformats-officedocument.spreadsheetml.worksheet+xml"/>
  <Override PartName="/xl/worksheets/sheet18.xml" ContentType="application/vnd.openxmlformats-officedocument.spreadsheetml.worksheet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Default Extension="vml" ContentType="application/vnd.openxmlformats-officedocument.vmlDrawing"/>
  <Override PartName="/xl/comments1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28680" yWindow="-120" windowWidth="29040" windowHeight="15720"/>
  </bookViews>
  <sheets>
    <sheet sheetId="15" name="KPIs" state="visible" r:id="rId4"/>
    <sheet sheetId="18" name="Trésorerie &amp; Salaire" state="visible" r:id="rId5"/>
    <sheet sheetId="23" name="Seuils CA-ARE" state="visible" r:id="rId6"/>
    <sheet sheetId="12" name="Article-level" state="visible" r:id="rId7"/>
    <sheet sheetId="17" name="Dépenses" state="visible" r:id="rId8"/>
    <sheet sheetId="21" name="Calculs Lots" state="visible" r:id="rId9"/>
    <sheet sheetId="22" name="Calculs VC" state="visible" r:id="rId10"/>
    <sheet sheetId="25" name="Sheet2" state="visible" r:id="rId11"/>
    <sheet sheetId="1" name="CRM Suivi" state="visible" r:id="rId12"/>
    <sheet sheetId="2" name="CRM Annonces" state="visible" r:id="rId13"/>
  </sheets>
  <calcPr calcId="171027" fullCalcOnLoad="1"/>
</workbook>
</file>

<file path=xl/comments15.xml><?xml version="1.0" encoding="utf-8"?>
<comments xmlns="http://schemas.openxmlformats.org/spreadsheetml/2006/main">
  <authors>
    <author>Author</author>
  </authors>
  <commentList>
    <comment ref="B12" authorId="0">
      <text/>
    </comment>
    <comment ref="B13" authorId="0">
      <text/>
    </comment>
    <comment ref="B14" authorId="0">
      <text/>
    </comment>
    <comment ref="B15" authorId="0">
      <text/>
    </comment>
    <comment ref="B16" authorId="0">
      <text/>
    </comment>
    <comment ref="B17" authorId="0">
      <text/>
    </comment>
    <comment ref="B21" authorId="0">
      <text/>
    </comment>
    <comment ref="B23" authorId="0">
      <text/>
    </comment>
  </commentList>
</comments>
</file>

<file path=xl/sharedStrings.xml><?xml version="1.0" encoding="utf-8"?>
<sst xmlns="http://schemas.openxmlformats.org/spreadsheetml/2006/main" count="6703" uniqueCount="1451">
  <si>
    <t>Famille</t>
  </si>
  <si>
    <t>KPIs</t>
  </si>
  <si>
    <t>Mois en cours</t>
  </si>
  <si>
    <t>Mois précédent</t>
  </si>
  <si>
    <t>Année en cours</t>
  </si>
  <si>
    <t>Année précédente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</si>
  <si>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</si>
  <si>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</si>
  <si>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</si>
  <si>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</si>
  <si>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</si>
  <si>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</si>
  <si>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</si>
  <si>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</si>
  <si>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</si>
  <si>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</si>
  <si>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</si>
  <si>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</si>
  <si>
    <t>Ventes</t>
  </si>
  <si>
    <t>Total vente (CA)</t>
  </si>
  <si>
    <t>Total Bénéfice Brut</t>
  </si>
  <si>
    <t>Bénéfice moyen (€)</t>
  </si>
  <si>
    <t>Profit moyen coef</t>
  </si>
  <si>
    <t>Panier moyen</t>
  </si>
  <si>
    <t>Ventes effectuées</t>
  </si>
  <si>
    <t>Achats</t>
  </si>
  <si>
    <t>Total achat (montant)</t>
  </si>
  <si>
    <t>Prix moyen achat</t>
  </si>
  <si>
    <t xml:space="preserve">Achats effectués </t>
  </si>
  <si>
    <t>-</t>
  </si>
  <si>
    <t>Délais</t>
  </si>
  <si>
    <t>Délai réception d'achat</t>
  </si>
  <si>
    <t>Délai relisting</t>
  </si>
  <si>
    <t>Délai revente</t>
  </si>
  <si>
    <t>Jours stockés</t>
  </si>
  <si>
    <t>Inventaire</t>
  </si>
  <si>
    <t>Valeur d'achat en stock</t>
  </si>
  <si>
    <t>Valeur d'achats en attente</t>
  </si>
  <si>
    <t>Valeur stock totale</t>
  </si>
  <si>
    <t>Achats reçus ce mois-ci</t>
  </si>
  <si>
    <t>Articles listés ce mois-ci</t>
  </si>
  <si>
    <t>Inventaire réél</t>
  </si>
  <si>
    <t>Inventaire en attente</t>
  </si>
  <si>
    <t>Inventaire total</t>
  </si>
  <si>
    <t>Objectif</t>
  </si>
  <si>
    <t>Total vente (CA) : objectif</t>
  </si>
  <si>
    <t>Total vente (CA) : Réel</t>
  </si>
  <si>
    <t>Total vente (CA) %</t>
  </si>
  <si>
    <t>Bénéfice : Objectif</t>
  </si>
  <si>
    <t xml:space="preserve">Bénéfice : Réel </t>
  </si>
  <si>
    <t>Bénéfice %</t>
  </si>
  <si>
    <t>Panier moyen : Objectif</t>
  </si>
  <si>
    <t>Panier moyen : Réel</t>
  </si>
  <si>
    <t>Panier moyen %</t>
  </si>
  <si>
    <t>Bénéfice moyen : Objectif</t>
  </si>
  <si>
    <t>Bénéfice moyen : Réel</t>
  </si>
  <si>
    <t>Bénéfice moyen %</t>
  </si>
  <si>
    <t>Profit moyen coef : Objectif</t>
  </si>
  <si>
    <t>Profit moyen coef : Réel</t>
  </si>
  <si>
    <t>Profit moyen coef %</t>
  </si>
  <si>
    <t>Nb de ventes à faire : Objectif</t>
  </si>
  <si>
    <t>Nb de ventes à faire : Réel</t>
  </si>
  <si>
    <t>Nb de ventes à faire %</t>
  </si>
  <si>
    <t>A ajuster, aussi dans Finances AE Book</t>
  </si>
  <si>
    <t>PLUS TARD</t>
  </si>
  <si>
    <t>Mois</t>
  </si>
  <si>
    <t>Trésorerie début de mois</t>
  </si>
  <si>
    <t>Valeur du stock en début de mois (prix d'achat)</t>
  </si>
  <si>
    <t>Encaissements (CA)</t>
  </si>
  <si>
    <t>URSSAF</t>
  </si>
  <si>
    <t>Impots</t>
  </si>
  <si>
    <t>CFE</t>
  </si>
  <si>
    <t>Abattement ARE</t>
  </si>
  <si>
    <t>Dépenses (matériel, Vinted Bumps, Wardrobe)</t>
  </si>
  <si>
    <t>Frais pros fixes (compte PRO, assurance PRO, domiciliation)</t>
  </si>
  <si>
    <t>Décaissements (total)</t>
  </si>
  <si>
    <t>Trésorerie fin de mois (calculée)</t>
  </si>
  <si>
    <t>Trésorerie fin de mois (réelle)</t>
  </si>
  <si>
    <t>Bénéfice Brut</t>
  </si>
  <si>
    <t>Bénéfice Net</t>
  </si>
  <si>
    <t>Frais fixes persos (mutuelle, retraite, vacances)</t>
  </si>
  <si>
    <t>Salaire "net" (Reste à vivre)</t>
  </si>
  <si>
    <t>Aller le plus haut possible sans dépasser le seuil.</t>
  </si>
  <si>
    <t>Tranche CA théorique</t>
  </si>
  <si>
    <t>Jours ARE</t>
  </si>
  <si>
    <t>ARE nette approx</t>
  </si>
  <si>
    <t>Zone à risque (arrondis)</t>
  </si>
  <si>
    <t>✅ CA max conseillé (safe)</t>
  </si>
  <si>
    <t>Élément</t>
  </si>
  <si>
    <t>Valeur</t>
  </si>
  <si>
    <t>1033 → 1375 €</t>
  </si>
  <si>
    <t>27 jours</t>
  </si>
  <si>
    <t>~1560 €</t>
  </si>
  <si>
    <t>1330 → 1375 €</t>
  </si>
  <si>
    <t>≤ 1330 €</t>
  </si>
  <si>
    <t>1 jour ARE brut</t>
  </si>
  <si>
    <t>69,82 €</t>
  </si>
  <si>
    <t>1376 → 1720 €</t>
  </si>
  <si>
    <t>26 jours</t>
  </si>
  <si>
    <t>~1502 €</t>
  </si>
  <si>
    <t>1680 → 1720 €</t>
  </si>
  <si>
    <t>≤ 1680 €</t>
  </si>
  <si>
    <t>1 jour ARE net</t>
  </si>
  <si>
    <t>57,79 €</t>
  </si>
  <si>
    <t>1721 → 2064 €</t>
  </si>
  <si>
    <t>25 jours</t>
  </si>
  <si>
    <t>~1445 €</t>
  </si>
  <si>
    <t>2020 → 2064 €</t>
  </si>
  <si>
    <t>≤ 2020 €</t>
  </si>
  <si>
    <t>CA pour perdre 1 jour</t>
  </si>
  <si>
    <t>≈ 344 €</t>
  </si>
  <si>
    <t>2065 → 2408 €</t>
  </si>
  <si>
    <t>24 jours</t>
  </si>
  <si>
    <t>~1387 €</t>
  </si>
  <si>
    <t>2360 → 2408 €</t>
  </si>
  <si>
    <t>≤ 2360 €</t>
  </si>
  <si>
    <t>2409 → 2752 €</t>
  </si>
  <si>
    <t>23 jours</t>
  </si>
  <si>
    <t>~1329 €</t>
  </si>
  <si>
    <t>2700 → 2752 €</t>
  </si>
  <si>
    <t>≤ 2700 €</t>
  </si>
  <si>
    <t>2753 → 3096 €</t>
  </si>
  <si>
    <t>22 jours</t>
  </si>
  <si>
    <t>~1271 €</t>
  </si>
  <si>
    <t>3050 → 3096 €</t>
  </si>
  <si>
    <t>≤ 3050 €</t>
  </si>
  <si>
    <t>Date achat</t>
  </si>
  <si>
    <t>Article</t>
  </si>
  <si>
    <t>SKU</t>
  </si>
  <si>
    <t>ZM order</t>
  </si>
  <si>
    <t>Poid (gr)</t>
  </si>
  <si>
    <t>Catégorie</t>
  </si>
  <si>
    <t>Marque</t>
  </si>
  <si>
    <t>Taille</t>
  </si>
  <si>
    <t>Acheté sur</t>
  </si>
  <si>
    <t>Achat Notes</t>
  </si>
  <si>
    <t>Prix article</t>
  </si>
  <si>
    <t>Frais plateforme + envoi</t>
  </si>
  <si>
    <t>Prix total Achat</t>
  </si>
  <si>
    <t>Date réception Achat</t>
  </si>
  <si>
    <t>Prix Min voulu (x2 )</t>
  </si>
  <si>
    <t>Prix relisting minimum  (x2.4)</t>
  </si>
  <si>
    <t>Date relisting</t>
  </si>
  <si>
    <t>Date revente</t>
  </si>
  <si>
    <t>Prix de revente</t>
  </si>
  <si>
    <t>Vendu sur</t>
  </si>
  <si>
    <t>Vente Notes</t>
  </si>
  <si>
    <t>Statut</t>
  </si>
  <si>
    <t>Bénéfice</t>
  </si>
  <si>
    <t>Coef profit</t>
  </si>
  <si>
    <t>Délai achat &gt; réception d'achat</t>
  </si>
  <si>
    <t>Délai réception d'achat &gt; relisting</t>
  </si>
  <si>
    <t>Délai relisting &gt; revente</t>
  </si>
  <si>
    <t>Délai réception d'achat &gt; vente (jours stockés)</t>
  </si>
  <si>
    <t>Délai total (achat -&gt; revente)</t>
  </si>
  <si>
    <t>chemise denim</t>
  </si>
  <si>
    <t>250530V01</t>
  </si>
  <si>
    <t>N/A</t>
  </si>
  <si>
    <t>universal works</t>
  </si>
  <si>
    <t>xl</t>
  </si>
  <si>
    <t>Vinted</t>
  </si>
  <si>
    <t>Cotton Border Knit T-Shirt XL</t>
  </si>
  <si>
    <t>250703Z02</t>
  </si>
  <si>
    <t>Beams+</t>
  </si>
  <si>
    <t>XL</t>
  </si>
  <si>
    <t>ZenMarket</t>
  </si>
  <si>
    <t>BEAMS PLUS Short Sleeve Knit T-Shirt XL Border</t>
  </si>
  <si>
    <t>250703Z01</t>
  </si>
  <si>
    <t>Chemise</t>
  </si>
  <si>
    <t>250916V01</t>
  </si>
  <si>
    <t>Aimé Leon Dore</t>
  </si>
  <si>
    <t>Orslow 107 Denim Vintage</t>
  </si>
  <si>
    <t>250917Z11</t>
  </si>
  <si>
    <t>Orslow</t>
  </si>
  <si>
    <t>M</t>
  </si>
  <si>
    <t>AURALEE 100% Cotton Knit Sweater Size 4</t>
  </si>
  <si>
    <t>250917Z08</t>
  </si>
  <si>
    <t>Auralee</t>
  </si>
  <si>
    <t>L</t>
  </si>
  <si>
    <t>BEAMS PLUS Beams Plus Set ①</t>
  </si>
  <si>
    <t>250917Z07</t>
  </si>
  <si>
    <t>Haut vendu le 22/10/2025, shorts le 28/02/2026</t>
  </si>
  <si>
    <t>Engineered Garments check shirt</t>
  </si>
  <si>
    <t>250917Z03</t>
  </si>
  <si>
    <t>Engineered Garments</t>
  </si>
  <si>
    <t>[Rare] AURALEE Big Silhouette Long T-Shirt, Solid Color, Domestic Brand, Vintage Clothing</t>
  </si>
  <si>
    <t>250917Z04</t>
  </si>
  <si>
    <t>AURALEE Beige Long Sleeve Sweatshirt, Size L</t>
  </si>
  <si>
    <t>250917Z06</t>
  </si>
  <si>
    <t>Lot (2)</t>
  </si>
  <si>
    <t>[Size 4] AURALEE Polo Shirt, Short Sleeve, 100% Cotton</t>
  </si>
  <si>
    <t>250917Z09</t>
  </si>
  <si>
    <t>●BEAMS Beams Jacket S●0713● Used</t>
  </si>
  <si>
    <t>250917Z02</t>
  </si>
  <si>
    <t>S</t>
  </si>
  <si>
    <t>ORSLOW Corduroy Pants, Size L, Made in Japan</t>
  </si>
  <si>
    <t>250917Z05</t>
  </si>
  <si>
    <t>shirt</t>
  </si>
  <si>
    <t>250920V01</t>
  </si>
  <si>
    <t>Woorlich</t>
  </si>
  <si>
    <t>Pantalon</t>
  </si>
  <si>
    <t>250921V01</t>
  </si>
  <si>
    <t>Corridor</t>
  </si>
  <si>
    <t>Veste</t>
  </si>
  <si>
    <t>250921V02</t>
  </si>
  <si>
    <t>Cardigan</t>
  </si>
  <si>
    <t>251002V01</t>
  </si>
  <si>
    <t>Pull</t>
  </si>
  <si>
    <t>251004V01</t>
  </si>
  <si>
    <t>Uniqlo</t>
  </si>
  <si>
    <t>casquette</t>
  </si>
  <si>
    <t>251013V01</t>
  </si>
  <si>
    <t>kith</t>
  </si>
  <si>
    <t>TU</t>
  </si>
  <si>
    <t>BEAMS PLUS Work Shirt, Long Sleeve, Check, Double Pocket</t>
  </si>
  <si>
    <t>251017Z04</t>
  </si>
  <si>
    <t>Down Chester Coat Blue S</t>
  </si>
  <si>
    <t>251017Z01</t>
  </si>
  <si>
    <t>VestiaireCo</t>
  </si>
  <si>
    <t>Vendu à 104.35€</t>
  </si>
  <si>
    <t>Jacquard Short Sleeve Knit Shirt Linen Blend Button Up Size L</t>
  </si>
  <si>
    <t>251017Z02</t>
  </si>
  <si>
    <t>BEAMS PLUS Green Check Button-Down Shirt L Japan</t>
  </si>
  <si>
    <t>251017Z03</t>
  </si>
  <si>
    <t>BEAMS PLUS Cotton Check Work Shirt Red</t>
  </si>
  <si>
    <t>251017Z05</t>
  </si>
  <si>
    <t>jeans</t>
  </si>
  <si>
    <t>251018V01</t>
  </si>
  <si>
    <t>Edwin</t>
  </si>
  <si>
    <t>jacket</t>
  </si>
  <si>
    <t>251018V02</t>
  </si>
  <si>
    <t>chaussures 993</t>
  </si>
  <si>
    <t>201020V02</t>
  </si>
  <si>
    <t>New Balance</t>
  </si>
  <si>
    <t>pantalon</t>
  </si>
  <si>
    <t>201020V01</t>
  </si>
  <si>
    <t>leather jacket</t>
  </si>
  <si>
    <t>201020V03</t>
  </si>
  <si>
    <t>timberland</t>
  </si>
  <si>
    <t>Veste costume</t>
  </si>
  <si>
    <t>251028V01</t>
  </si>
  <si>
    <t>XXL</t>
  </si>
  <si>
    <t>251108V01</t>
  </si>
  <si>
    <t>Bradé sur le nouveau compte</t>
  </si>
  <si>
    <t>251108V02</t>
  </si>
  <si>
    <t>Octobre Editions</t>
  </si>
  <si>
    <t xml:space="preserve">T-shirt </t>
  </si>
  <si>
    <t>251110V01</t>
  </si>
  <si>
    <t>reçu XL (je garge) je revend L (que j'avais déjà)</t>
  </si>
  <si>
    <t>251110V02</t>
  </si>
  <si>
    <t>251111V01</t>
  </si>
  <si>
    <t>33</t>
  </si>
  <si>
    <t>chaussures 1500</t>
  </si>
  <si>
    <t>251114V02</t>
  </si>
  <si>
    <t>44</t>
  </si>
  <si>
    <t>251114V01</t>
  </si>
  <si>
    <t>31</t>
  </si>
  <si>
    <t>pull</t>
  </si>
  <si>
    <t>251115V01</t>
  </si>
  <si>
    <t>uniqlo</t>
  </si>
  <si>
    <t>251115V03</t>
  </si>
  <si>
    <t>Lot (3)</t>
  </si>
  <si>
    <t>251115V02</t>
  </si>
  <si>
    <t>251115V04</t>
  </si>
  <si>
    <t>251115V05</t>
  </si>
  <si>
    <t>251116V02</t>
  </si>
  <si>
    <t>tshirt</t>
  </si>
  <si>
    <t>251116V01</t>
  </si>
  <si>
    <t>Kith</t>
  </si>
  <si>
    <t>chaussures</t>
  </si>
  <si>
    <t>251117V01</t>
  </si>
  <si>
    <t>Sebago</t>
  </si>
  <si>
    <t>41</t>
  </si>
  <si>
    <t>polo</t>
  </si>
  <si>
    <t>251118V01</t>
  </si>
  <si>
    <t>folk</t>
  </si>
  <si>
    <t>251119V01</t>
  </si>
  <si>
    <t>clarks</t>
  </si>
  <si>
    <t>251123V01</t>
  </si>
  <si>
    <t>36</t>
  </si>
  <si>
    <t>251124V01</t>
  </si>
  <si>
    <t>Lacoste</t>
  </si>
  <si>
    <t>Tshirt manches longues</t>
  </si>
  <si>
    <t>251124V02</t>
  </si>
  <si>
    <t>NN07</t>
  </si>
  <si>
    <t>Jean Edwin ED-55 Selveged</t>
  </si>
  <si>
    <t>251126V01</t>
  </si>
  <si>
    <t>32</t>
  </si>
  <si>
    <t>Jean</t>
  </si>
  <si>
    <t>251126V03</t>
  </si>
  <si>
    <t>251128V01</t>
  </si>
  <si>
    <t>251129V01</t>
  </si>
  <si>
    <t>Pull (nn07 john half zip 6683)</t>
  </si>
  <si>
    <t>251129V02</t>
  </si>
  <si>
    <t>251130V07</t>
  </si>
  <si>
    <t>?</t>
  </si>
  <si>
    <t>Lot (4)</t>
  </si>
  <si>
    <t>251130V06</t>
  </si>
  <si>
    <t>251130V02</t>
  </si>
  <si>
    <t>251130V04</t>
  </si>
  <si>
    <t>251130V05</t>
  </si>
  <si>
    <t>Polo manches longues</t>
  </si>
  <si>
    <t>251130V01</t>
  </si>
  <si>
    <t>251130V03</t>
  </si>
  <si>
    <t>251201V01</t>
  </si>
  <si>
    <t>Jacket</t>
  </si>
  <si>
    <t>251201V02</t>
  </si>
  <si>
    <t>251203V02</t>
  </si>
  <si>
    <t>Le Laboureur</t>
  </si>
  <si>
    <t>Jeans</t>
  </si>
  <si>
    <t>251203V01</t>
  </si>
  <si>
    <t>Pull cachemire</t>
  </si>
  <si>
    <t>251204V01</t>
  </si>
  <si>
    <t>REAL McCOY'S Straight Denim Dark Blue S614</t>
  </si>
  <si>
    <t>251219Z01</t>
  </si>
  <si>
    <t>Real Mc Coy's</t>
  </si>
  <si>
    <t>BEAMS + Men's Flannel Shirt, Size XL</t>
  </si>
  <si>
    <t>251219Z03</t>
  </si>
  <si>
    <t>orslow Low-Rise Jeans, Made in Japan</t>
  </si>
  <si>
    <t>251219Z02</t>
  </si>
  <si>
    <t>Excellent condition Studio D'Artisan boa coach jacket with chain stitching</t>
  </si>
  <si>
    <t>251219Z05</t>
  </si>
  <si>
    <t>Studio d'Artisan</t>
  </si>
  <si>
    <t>AURALEE AURALEE STANDUP L/S TEE / Long Sleeve T-Shirt / 4</t>
  </si>
  <si>
    <t>251219Z06</t>
  </si>
  <si>
    <t>BEAMS PLUS Cotton Linen Knit in Navy</t>
  </si>
  <si>
    <t>lfyb3</t>
  </si>
  <si>
    <t>Sugarcane STAR JEANS SC41414</t>
  </si>
  <si>
    <t>251219Z07</t>
  </si>
  <si>
    <t>SugarCane</t>
  </si>
  <si>
    <t>30</t>
  </si>
  <si>
    <t>251208V01</t>
  </si>
  <si>
    <t>251215V01</t>
  </si>
  <si>
    <t>251217V01</t>
  </si>
  <si>
    <t>251218V01</t>
  </si>
  <si>
    <t>251219V01</t>
  </si>
  <si>
    <t>29</t>
  </si>
  <si>
    <t>Tente de gratter une remise, article clairement pas "New With tags"</t>
  </si>
  <si>
    <t>Pull léger</t>
  </si>
  <si>
    <t>251223V01</t>
  </si>
  <si>
    <t>251228V01</t>
  </si>
  <si>
    <t>34</t>
  </si>
  <si>
    <t>251230V02</t>
  </si>
  <si>
    <t>31/33</t>
  </si>
  <si>
    <t>Lot</t>
  </si>
  <si>
    <t>251230V03</t>
  </si>
  <si>
    <t>31/34</t>
  </si>
  <si>
    <t>251230V04</t>
  </si>
  <si>
    <t>251230V01</t>
  </si>
  <si>
    <t>Goodies Sportive</t>
  </si>
  <si>
    <t>251230V05</t>
  </si>
  <si>
    <t>31/32</t>
  </si>
  <si>
    <t>Polo long sleeves</t>
  </si>
  <si>
    <t>2601V02</t>
  </si>
  <si>
    <t>2601V03</t>
  </si>
  <si>
    <t>32x32</t>
  </si>
  <si>
    <t>Hoodie</t>
  </si>
  <si>
    <t>2601V05</t>
  </si>
  <si>
    <t>Ronning</t>
  </si>
  <si>
    <t>Lot (2) (articles sans label principal)</t>
  </si>
  <si>
    <t>Chaussures 993</t>
  </si>
  <si>
    <t>2601V04</t>
  </si>
  <si>
    <t>41.5</t>
  </si>
  <si>
    <t>2601V06</t>
  </si>
  <si>
    <t>Fleece (Green)</t>
  </si>
  <si>
    <t>2601V07</t>
  </si>
  <si>
    <t>Fleece (Brown)</t>
  </si>
  <si>
    <t>2601V08</t>
  </si>
  <si>
    <t>BEAMS PLUS Men's Beige Long Sleeve Knit Sweater M</t>
  </si>
  <si>
    <t>2601Z102</t>
  </si>
  <si>
    <t>BEAMS PLUS Long Sleeve Polo Shirt M Blue Men</t>
  </si>
  <si>
    <t>otdi1</t>
  </si>
  <si>
    <t>BEAMS Plus Cardigan Elbow Patch Used</t>
  </si>
  <si>
    <t>2601Z103</t>
  </si>
  <si>
    <t>Kway</t>
  </si>
  <si>
    <t>2601V09</t>
  </si>
  <si>
    <t>Cotton Half Coat</t>
  </si>
  <si>
    <t>2601Z106</t>
  </si>
  <si>
    <t>Ordinary Fits</t>
  </si>
  <si>
    <t>2 (M?)</t>
  </si>
  <si>
    <t>Tasmanian Wool Milano Rib Knit Jacket Black</t>
  </si>
  <si>
    <t>2601Z109</t>
  </si>
  <si>
    <t>Unfil</t>
  </si>
  <si>
    <t>4 (L?)</t>
  </si>
  <si>
    <t>Flannel Shirt</t>
  </si>
  <si>
    <t>2601Z104</t>
  </si>
  <si>
    <t>FOB Factory</t>
  </si>
  <si>
    <t>GORE-TEX Hooded Coat Blue M</t>
  </si>
  <si>
    <t>2601Z105</t>
  </si>
  <si>
    <t>Nanamica</t>
  </si>
  <si>
    <t>Sugar Cane 60/40 Cloth Stand Collar Coat Size L</t>
  </si>
  <si>
    <t>otdi7</t>
  </si>
  <si>
    <t>Sugar Cane</t>
  </si>
  <si>
    <t>Cotton Waffle Long Sleeve T-Shirt, Yellow, M, Made in Japan</t>
  </si>
  <si>
    <t>otdi8</t>
  </si>
  <si>
    <t>Duck Double Knee Work Pants Brown (Japan)</t>
  </si>
  <si>
    <t>otdi10</t>
  </si>
  <si>
    <t>Cotton Vest Navy M</t>
  </si>
  <si>
    <t>2601Z111</t>
  </si>
  <si>
    <t>2601V14</t>
  </si>
  <si>
    <t>2601V15</t>
  </si>
  <si>
    <t>2601V16</t>
  </si>
  <si>
    <t>Todd Snyder</t>
  </si>
  <si>
    <t>2601V17</t>
  </si>
  <si>
    <t>Flannel Check Shirt with Chin Strap</t>
  </si>
  <si>
    <t>otdi17</t>
  </si>
  <si>
    <t>MOMOTARO JEANS x Men's Bigi Selvedge Jeans Dark Indigo S</t>
  </si>
  <si>
    <t>2601Z208</t>
  </si>
  <si>
    <t>Momotaro</t>
  </si>
  <si>
    <t>Wool Knit Sweater Camel 100% Green</t>
  </si>
  <si>
    <t>2601Z210</t>
  </si>
  <si>
    <t>4 (L)</t>
  </si>
  <si>
    <t>Unfil Long Sleeve Pocket T-Shirt</t>
  </si>
  <si>
    <t>otdi23</t>
  </si>
  <si>
    <t>3 (L)</t>
  </si>
  <si>
    <t>Striped Knit Polo Shirt</t>
  </si>
  <si>
    <t>otdi13</t>
  </si>
  <si>
    <t>Beams +</t>
  </si>
  <si>
    <t>Teflon Cotton Chambray Travel Coat</t>
  </si>
  <si>
    <t>2601Z203</t>
  </si>
  <si>
    <t>BATONER Crew Neck Knit Sweater</t>
  </si>
  <si>
    <t>2601Z204</t>
  </si>
  <si>
    <t>Batoner</t>
  </si>
  <si>
    <t>Red/Black Check Flannel Shirt</t>
  </si>
  <si>
    <t>2601Z205</t>
  </si>
  <si>
    <t>The Flat Head</t>
  </si>
  <si>
    <t>COOLMAX Dark Madras Set Up S/M</t>
  </si>
  <si>
    <t>otdi12</t>
  </si>
  <si>
    <t>S/M</t>
  </si>
  <si>
    <t>Denim Jacket Dark Blue</t>
  </si>
  <si>
    <t>2601Z207</t>
  </si>
  <si>
    <t>Fob Factory</t>
  </si>
  <si>
    <t>2 (M)</t>
  </si>
  <si>
    <t>Oversized Cotton V Cardigan Size 5</t>
  </si>
  <si>
    <t>2601Z209</t>
  </si>
  <si>
    <t>5 (L)</t>
  </si>
  <si>
    <t>KAPTAIN SUNSHINE BEAMS Plus Jacket L</t>
  </si>
  <si>
    <t>otdi25</t>
  </si>
  <si>
    <t>Kaptain Sunshine / Beams +</t>
  </si>
  <si>
    <t>BEAMS Plus Patchwork Wool Knit Sweater Brown S</t>
  </si>
  <si>
    <t>otdi28</t>
  </si>
  <si>
    <t>Multicolor Check Flannel Shirt L Size</t>
  </si>
  <si>
    <t>2601Z212</t>
  </si>
  <si>
    <t>The Real McCoy's</t>
  </si>
  <si>
    <t>Beige Shirt Jacket with Pockets, M</t>
  </si>
  <si>
    <t>otdi26</t>
  </si>
  <si>
    <t>BEAMS Work Pants</t>
  </si>
  <si>
    <t>2601Z216</t>
  </si>
  <si>
    <t>BEAMS Check Flannel Shirt S Size</t>
  </si>
  <si>
    <t>otdi30</t>
  </si>
  <si>
    <t>2601V20</t>
  </si>
  <si>
    <t>Sur Jo</t>
  </si>
  <si>
    <t>Melton Work Jacket</t>
  </si>
  <si>
    <t>2603Z101</t>
  </si>
  <si>
    <t>Still by Hand</t>
  </si>
  <si>
    <t>M (???)</t>
  </si>
  <si>
    <t>Cardigan Navy/Stripe Size 48</t>
  </si>
  <si>
    <t>syxv7</t>
  </si>
  <si>
    <t>XL ???</t>
  </si>
  <si>
    <t>BEAMS Grey Knit Polo Shirt</t>
  </si>
  <si>
    <t>2603Z103</t>
  </si>
  <si>
    <t>Wool Duffle Coat</t>
  </si>
  <si>
    <t>2603Z104</t>
  </si>
  <si>
    <t>L (???)</t>
  </si>
  <si>
    <t>Indigo Corduroy Open Collar Shirt</t>
  </si>
  <si>
    <t>2603Z105</t>
  </si>
  <si>
    <t>BEAMS+ Long Sleeve Check Shirt M 3pcs Set</t>
  </si>
  <si>
    <t>2603Z106-1</t>
  </si>
  <si>
    <t>2603Z106-2</t>
  </si>
  <si>
    <t>2603Z106-3</t>
  </si>
  <si>
    <t>Wool Knit Sweater Yellow</t>
  </si>
  <si>
    <t>syxv13</t>
  </si>
  <si>
    <t>Jeans Momotaro</t>
  </si>
  <si>
    <t>2603V01</t>
  </si>
  <si>
    <t>Jeans Iron Heart Navy</t>
  </si>
  <si>
    <t>2603V02</t>
  </si>
  <si>
    <t>Iron Heart</t>
  </si>
  <si>
    <t>Jeans Iron Heart Black</t>
  </si>
  <si>
    <t>2603V03</t>
  </si>
  <si>
    <t>Chino pants</t>
  </si>
  <si>
    <t>2603V04</t>
  </si>
  <si>
    <t>2603V05</t>
  </si>
  <si>
    <t>2603V06</t>
  </si>
  <si>
    <t>2603V07</t>
  </si>
  <si>
    <t>2603V08</t>
  </si>
  <si>
    <t>2603V09</t>
  </si>
  <si>
    <t>Chaussures</t>
  </si>
  <si>
    <t>2603V10</t>
  </si>
  <si>
    <t>Flower Mountain</t>
  </si>
  <si>
    <t>45</t>
  </si>
  <si>
    <t>Pantalon Beige</t>
  </si>
  <si>
    <t>2603V13</t>
  </si>
  <si>
    <t>Pantalon Kakhi</t>
  </si>
  <si>
    <t>2603V14</t>
  </si>
  <si>
    <t>Pantalon corduroy</t>
  </si>
  <si>
    <t>2603V15</t>
  </si>
  <si>
    <t>Indigo Stripe Work Jacket and</t>
  </si>
  <si>
    <t>syxv19</t>
  </si>
  <si>
    <t>2603Z2</t>
  </si>
  <si>
    <t>S/30</t>
  </si>
  <si>
    <t>OG-507 Utility Shirt Olive Gre.</t>
  </si>
  <si>
    <t>syxv20</t>
  </si>
  <si>
    <t>The Real McCoys</t>
  </si>
  <si>
    <t>orSlow Houndstooth Tapered Pan...</t>
  </si>
  <si>
    <t>syxv21</t>
  </si>
  <si>
    <t>Denim 5-Pocket Tapered Pants</t>
  </si>
  <si>
    <t>syxv25</t>
  </si>
  <si>
    <t>BEAMS Khaki Jumper M Size</t>
  </si>
  <si>
    <t>syxv29</t>
  </si>
  <si>
    <t>Beams</t>
  </si>
  <si>
    <t>BEAMS Dark Blue Straight Denim</t>
  </si>
  <si>
    <t>syxv30</t>
  </si>
  <si>
    <t>BEAMS PLUS 5-Pocket Pique Pant..</t>
  </si>
  <si>
    <t>syxv33</t>
  </si>
  <si>
    <t>Veste Cuir</t>
  </si>
  <si>
    <t>2603V16</t>
  </si>
  <si>
    <t>BEAMS+ Short Sleeve Shirt S Botanical Pattern Japan</t>
  </si>
  <si>
    <t>SYXV1</t>
  </si>
  <si>
    <t>#18</t>
  </si>
  <si>
    <t>BEAMS Short Sleeve Shirt M Brown</t>
  </si>
  <si>
    <t>SYXV15</t>
  </si>
  <si>
    <t>BEAMS PLUS Border T-Shirt</t>
  </si>
  <si>
    <t>SYXV18</t>
  </si>
  <si>
    <t>BEAMS+ Short Sleeve Shirt S Beige/Black</t>
  </si>
  <si>
    <t>SYXV2</t>
  </si>
  <si>
    <t>SUGAR CANE Floral Short Sleeve Shirt M Japan</t>
  </si>
  <si>
    <t>SYXV22</t>
  </si>
  <si>
    <t>Orslow Chambray Short Sleeve Shirt Size 2</t>
  </si>
  <si>
    <t>SYXV24</t>
  </si>
  <si>
    <t>BEAMS Patterned Short Sleeve Shirt M</t>
  </si>
  <si>
    <t>SYXV3</t>
  </si>
  <si>
    <t>BEAMS+ Oxford Pullover Button-Down Shirt</t>
  </si>
  <si>
    <t>SYXV32</t>
  </si>
  <si>
    <t>BEAMS Stripe Short Sleeve Shirt M</t>
  </si>
  <si>
    <t>SYXV35</t>
  </si>
  <si>
    <t>BEAMS+ Patterned Shirt</t>
  </si>
  <si>
    <t>SYXV4</t>
  </si>
  <si>
    <t>Short Sleeve Check Shirt (M)</t>
  </si>
  <si>
    <t>SYXV5</t>
  </si>
  <si>
    <t>0804V01</t>
  </si>
  <si>
    <t>2604Z2</t>
  </si>
  <si>
    <t>Brooks Brothers</t>
  </si>
  <si>
    <t>initinaliement vendue début mai, mais retournée et relistée le 22/05/2026</t>
  </si>
  <si>
    <t>Geometric Jacquard Knit Sweater M</t>
  </si>
  <si>
    <t>SYXV16</t>
  </si>
  <si>
    <t>#19</t>
  </si>
  <si>
    <t>Shirt Jacket 2</t>
  </si>
  <si>
    <t>SYXV23</t>
  </si>
  <si>
    <t>AURALEE Stand-Up Pullover Parka</t>
  </si>
  <si>
    <t>SYXV26</t>
  </si>
  <si>
    <t>BEAMS+ Navy Slacks</t>
  </si>
  <si>
    <t>SYXV31</t>
  </si>
  <si>
    <t>AURATE Brown Half-Zip Knit Sweater Size 5</t>
  </si>
  <si>
    <t>SYXV36</t>
  </si>
  <si>
    <t>Army Navy Shirt</t>
  </si>
  <si>
    <t>SYXV37</t>
  </si>
  <si>
    <t>Real McCoy's</t>
  </si>
  <si>
    <t>M (?)</t>
  </si>
  <si>
    <t>Ivory Cable Knit Polo Shirt (Short Sleeve)</t>
  </si>
  <si>
    <t>SYXV34</t>
  </si>
  <si>
    <t>#20</t>
  </si>
  <si>
    <t xml:space="preserve">Beams </t>
  </si>
  <si>
    <t>BEAMS PLUS Knit Polo Shirt Long Sleeve Sweater</t>
  </si>
  <si>
    <t>SYXV38</t>
  </si>
  <si>
    <t>Wool Sweatshirt Gray</t>
  </si>
  <si>
    <t>SYXV46</t>
  </si>
  <si>
    <t>Vestiare Collective</t>
  </si>
  <si>
    <t>Initialement vendu le 27/04 mais retourné. Relisté le 09/05</t>
  </si>
  <si>
    <t xml:space="preserve">Straight Denim Jeans Dark Blue </t>
  </si>
  <si>
    <t>SYXV51</t>
  </si>
  <si>
    <t>AURALEE Half-Zip Sweatshirt Dark Grey Size 4</t>
  </si>
  <si>
    <t>SYXV53</t>
  </si>
  <si>
    <t>Selvedge Denim Pants W33</t>
  </si>
  <si>
    <t>SYXV54</t>
  </si>
  <si>
    <t>#21</t>
  </si>
  <si>
    <t>Orslow Jeans Blue</t>
  </si>
  <si>
    <t>0804V02</t>
  </si>
  <si>
    <t>orslow</t>
  </si>
  <si>
    <t>Vendu le 27/04, mais retourné. Relisté le 09/05</t>
  </si>
  <si>
    <t>Orslow Jeans Black</t>
  </si>
  <si>
    <t>0804V03</t>
  </si>
  <si>
    <t>Short Sleeve Check Shirt Size 3</t>
  </si>
  <si>
    <t>SYXV27</t>
  </si>
  <si>
    <t>L (?)</t>
  </si>
  <si>
    <t xml:space="preserve">Beams Short Sleeve Shirt Gray Navy Stripe L </t>
  </si>
  <si>
    <t>SYXV42</t>
  </si>
  <si>
    <t xml:space="preserve">BEAMS Stripe T-Shirt M </t>
  </si>
  <si>
    <t>SYXV44</t>
  </si>
  <si>
    <t xml:space="preserve">BEAMS PLUS Short Sleeve Knit M Blue Men </t>
  </si>
  <si>
    <t>SYXV45</t>
  </si>
  <si>
    <t>nonnative Men's Casual Shirt (Used)</t>
  </si>
  <si>
    <t>SYXV47</t>
  </si>
  <si>
    <t>#22</t>
  </si>
  <si>
    <t>Nonnative</t>
  </si>
  <si>
    <t>Sugar Cane Light Flannel Shirt L</t>
  </si>
  <si>
    <t>SYXV64</t>
  </si>
  <si>
    <t>BEAMS PLUS Short Sleeve Shirt</t>
  </si>
  <si>
    <t>SYXV69</t>
  </si>
  <si>
    <t>BEAMS Short Sleeve Shirt M Light Blue</t>
  </si>
  <si>
    <t>syxv59</t>
  </si>
  <si>
    <t xml:space="preserve">Beams+ </t>
  </si>
  <si>
    <t>Beams Short Sleeve Shirt Olive Brown M</t>
  </si>
  <si>
    <t>syxv60</t>
  </si>
  <si>
    <t>BEAMS M Short Sleeve Shirt Beige</t>
  </si>
  <si>
    <t>syxv61</t>
  </si>
  <si>
    <t>Combination Stripe Long Sleeve</t>
  </si>
  <si>
    <t>syxv67</t>
  </si>
  <si>
    <t>#23</t>
  </si>
  <si>
    <t>Military Shirt</t>
  </si>
  <si>
    <t>syxv71</t>
  </si>
  <si>
    <t>Sugar Cane Gingham Check Shirt</t>
  </si>
  <si>
    <t>syxv80</t>
  </si>
  <si>
    <t>AURALEE Black Slacks</t>
  </si>
  <si>
    <t>syxv57</t>
  </si>
  <si>
    <t>Cotton Check Shirt Blue L</t>
  </si>
  <si>
    <t>syxv65</t>
  </si>
  <si>
    <t xml:space="preserve">Sugar Cane </t>
  </si>
  <si>
    <t>BEAMS Beige Polo Neck Sweater</t>
  </si>
  <si>
    <t>syxv70</t>
  </si>
  <si>
    <t>BATONER Crew Neck Sweater</t>
  </si>
  <si>
    <t>syxv72</t>
  </si>
  <si>
    <t>Sugar Cane Flannel Shirt</t>
  </si>
  <si>
    <t>syxv74</t>
  </si>
  <si>
    <t>BEAMS Navy Paisley Short Sleeve</t>
  </si>
  <si>
    <t>syxv75</t>
  </si>
  <si>
    <t>SUGAR CANE Vintage Check Flannel</t>
  </si>
  <si>
    <t>syxv50</t>
  </si>
  <si>
    <t>Wool Knit Crewneck Sweater</t>
  </si>
  <si>
    <t>syxv55</t>
  </si>
  <si>
    <t xml:space="preserve">Edwin jeans </t>
  </si>
  <si>
    <t>0804V04</t>
  </si>
  <si>
    <t>orSlow 107 XX IVY FIT</t>
  </si>
  <si>
    <t>SYXV76</t>
  </si>
  <si>
    <t>#24</t>
  </si>
  <si>
    <t>orSlow Lot.107 Selvedge Denim 3 (L)</t>
  </si>
  <si>
    <t>SYXV78</t>
  </si>
  <si>
    <t>olSlow Tapered Denim, Size M</t>
  </si>
  <si>
    <t>SYXV82</t>
  </si>
  <si>
    <t>BEAMS PLUS Summer Knit, Navy, Short Sleeve</t>
  </si>
  <si>
    <t>SYXV83</t>
  </si>
  <si>
    <t>BEAMS White Jacket, Size M</t>
  </si>
  <si>
    <t>SYXV86</t>
  </si>
  <si>
    <t>Momotaro Jeans Full-Zip Waffle Hoodie, Dark Gray, Size L</t>
  </si>
  <si>
    <t>SYXV87</t>
  </si>
  <si>
    <t xml:space="preserve">Jeans Edwin </t>
  </si>
  <si>
    <t>0105V01</t>
  </si>
  <si>
    <t>Flower Mountain Shoes</t>
  </si>
  <si>
    <t>0105V02</t>
  </si>
  <si>
    <t>46</t>
  </si>
  <si>
    <t>0105V04</t>
  </si>
  <si>
    <t>Lemaire</t>
  </si>
  <si>
    <t>2026-05-04T00:00:00.000Z</t>
  </si>
  <si>
    <t>0105V05</t>
  </si>
  <si>
    <t>0105V06</t>
  </si>
  <si>
    <t>Sugar Cane shirt</t>
  </si>
  <si>
    <t>0105V07</t>
  </si>
  <si>
    <t>0105V08</t>
  </si>
  <si>
    <t>Chemise RRL</t>
  </si>
  <si>
    <t>0105V09</t>
  </si>
  <si>
    <t>RRL</t>
  </si>
  <si>
    <t>Jeans RRL</t>
  </si>
  <si>
    <t>0105V10</t>
  </si>
  <si>
    <t>Auralee Wool Sweatshirt Grey</t>
  </si>
  <si>
    <t>syxv77</t>
  </si>
  <si>
    <t>#25</t>
  </si>
  <si>
    <t>Cotton Linen Easy Pants Beige Size 3 Men</t>
  </si>
  <si>
    <t>syxv93</t>
  </si>
  <si>
    <t>BEAMS Long Shirt</t>
  </si>
  <si>
    <t>syxv94</t>
  </si>
  <si>
    <t>BEAMS PLUS Button-Down Shirt Green L</t>
  </si>
  <si>
    <t>syxv98</t>
  </si>
  <si>
    <t>Navy Long Sleeve Polo Shirt</t>
  </si>
  <si>
    <t>syxv100</t>
  </si>
  <si>
    <t>SUGAR CANE Long Sleeve Shirt</t>
  </si>
  <si>
    <t>syxv103</t>
  </si>
  <si>
    <t>Cotton Linen Open Collar Shirt White M</t>
  </si>
  <si>
    <t>syxv108</t>
  </si>
  <si>
    <t>orSlow L107 Size 3/L Skinny Jeans Denim Pants Navy</t>
  </si>
  <si>
    <t>syxv92</t>
  </si>
  <si>
    <t>#26</t>
  </si>
  <si>
    <t>BIG JOHN Denim Jacket M</t>
  </si>
  <si>
    <t>syxv96</t>
  </si>
  <si>
    <t>Big John</t>
  </si>
  <si>
    <t>ONI Denim Selvedge Jeans</t>
  </si>
  <si>
    <t>syxv101</t>
  </si>
  <si>
    <t>Oni Denim</t>
  </si>
  <si>
    <t>0105V11</t>
  </si>
  <si>
    <t>0105V12</t>
  </si>
  <si>
    <t>BIG JOHN Denim Shirt Long Sleeve</t>
  </si>
  <si>
    <t>syxv95</t>
  </si>
  <si>
    <t>#27</t>
  </si>
  <si>
    <t>Flannel Shirt L Navy/Green Check</t>
  </si>
  <si>
    <t>syxv106</t>
  </si>
  <si>
    <t>BATONER BEAMS PLUS Exclusive Cotton Silk Knit 3</t>
  </si>
  <si>
    <t>syxv110</t>
  </si>
  <si>
    <t>Olive Green Cargo Pants</t>
  </si>
  <si>
    <t>syxv114</t>
  </si>
  <si>
    <t>BIG JOHN Denim Jacket Light Blue L</t>
  </si>
  <si>
    <t>syxv116</t>
  </si>
  <si>
    <t>Used FILSON Long Sleeve Work Shirt Men's XL</t>
  </si>
  <si>
    <t>syxv118</t>
  </si>
  <si>
    <t>Filson</t>
  </si>
  <si>
    <t>Wool Camel Oversized Knit Sweater</t>
  </si>
  <si>
    <t>syxv119</t>
  </si>
  <si>
    <t>BEAMS Stripe Polo Shirt M</t>
  </si>
  <si>
    <t>syxv81</t>
  </si>
  <si>
    <t>#28</t>
  </si>
  <si>
    <t>BEAMS Short Sleeve Shirt M Blue</t>
  </si>
  <si>
    <t>syxv105</t>
  </si>
  <si>
    <t>Chambray Shirt</t>
  </si>
  <si>
    <t>syxv109</t>
  </si>
  <si>
    <t>AURALEE Corduroy Shirt Beige</t>
  </si>
  <si>
    <t>syxv112</t>
  </si>
  <si>
    <t>1 (S)</t>
  </si>
  <si>
    <t>Gingham Check Shirt M Japan</t>
  </si>
  <si>
    <t>syxv113</t>
  </si>
  <si>
    <t>AURALEE Red Short Sleeve T-Shirt</t>
  </si>
  <si>
    <t>syxv115</t>
  </si>
  <si>
    <t>Whitesville Quali-T T-Shirt 2-Pack XXL</t>
  </si>
  <si>
    <t>syxv104</t>
  </si>
  <si>
    <t>#29</t>
  </si>
  <si>
    <t>Whitesville</t>
  </si>
  <si>
    <t>BEAMS+ Brown Stripe Long Sleeve Shirt L</t>
  </si>
  <si>
    <t>syxv121</t>
  </si>
  <si>
    <t>Beams Puls Border Short Sleeve Knit Gray L</t>
  </si>
  <si>
    <t>syxv122</t>
  </si>
  <si>
    <t>BEAMS PLUS Jacquard Horizontal Stripe Pocket T-Shirt M</t>
  </si>
  <si>
    <t>syxv123</t>
  </si>
  <si>
    <t>BEAMS Stripe T-Shirt L</t>
  </si>
  <si>
    <t>syxv124</t>
  </si>
  <si>
    <t>AURALEE Short Sleeve Polo Shirt Size 5</t>
  </si>
  <si>
    <t>syxv125</t>
  </si>
  <si>
    <t>5 (L?)</t>
  </si>
  <si>
    <t>syxv129</t>
  </si>
  <si>
    <t>#30</t>
  </si>
  <si>
    <t>VISVIM Stripe Shirt Size L</t>
  </si>
  <si>
    <t>syxv136</t>
  </si>
  <si>
    <t>Visvim</t>
  </si>
  <si>
    <t>BEAMS PLUS Light Blue Short Sleeve Shirt</t>
  </si>
  <si>
    <t>syxv137</t>
  </si>
  <si>
    <t>syxv138</t>
  </si>
  <si>
    <t>syxv139</t>
  </si>
  <si>
    <t>syxv141</t>
  </si>
  <si>
    <t>Indigo Seersucker Pullover Shirt</t>
  </si>
  <si>
    <t>syxv146</t>
  </si>
  <si>
    <t>BEAMS+ Retro Border Pocket T-Shirt</t>
  </si>
  <si>
    <t>syxv131</t>
  </si>
  <si>
    <t>SUPER SOFT SWEATSHIRT</t>
  </si>
  <si>
    <t>syxv127</t>
  </si>
  <si>
    <t>#31</t>
  </si>
  <si>
    <t>Relax Denim 3rd Jacket F2288 M</t>
  </si>
  <si>
    <t>syxv130</t>
  </si>
  <si>
    <t>Denim Jacket</t>
  </si>
  <si>
    <t>Full Count Stripe Slacks Dark</t>
  </si>
  <si>
    <t>syxv132</t>
  </si>
  <si>
    <t>Pants</t>
  </si>
  <si>
    <t>FullCount</t>
  </si>
  <si>
    <t>Ordinary Fits Straight Denim Jeans</t>
  </si>
  <si>
    <t>syxv133</t>
  </si>
  <si>
    <t>Ordinay Fits</t>
  </si>
  <si>
    <t>SUGAR CANE 1947 SC42021 Denim</t>
  </si>
  <si>
    <t>syxv143</t>
  </si>
  <si>
    <t>SUGAR CANE Shirt (USA Made)</t>
  </si>
  <si>
    <t>syxv120</t>
  </si>
  <si>
    <t>#32</t>
  </si>
  <si>
    <t>Shirt LS</t>
  </si>
  <si>
    <t>BEAMS Cargo Pants M Light Green</t>
  </si>
  <si>
    <t>syxv134</t>
  </si>
  <si>
    <t>BIG-JOHN Blue Denim Jacket LL</t>
  </si>
  <si>
    <t>syxv147</t>
  </si>
  <si>
    <t>Denim Dungaree Shirt L</t>
  </si>
  <si>
    <t>syxv150</t>
  </si>
  <si>
    <t>SUGAR CANE Flannel Shirt SC244...</t>
  </si>
  <si>
    <t>syxv126</t>
  </si>
  <si>
    <t>Sugar Cane Shirt</t>
  </si>
  <si>
    <t>syxv152</t>
  </si>
  <si>
    <t>Cotton Pants 32</t>
  </si>
  <si>
    <t>syxv153</t>
  </si>
  <si>
    <t>The Real MCCoy's</t>
  </si>
  <si>
    <t>0105V13</t>
  </si>
  <si>
    <t>orSlow Men's Linen Shirt</t>
  </si>
  <si>
    <t>syxv128</t>
  </si>
  <si>
    <t>#33</t>
  </si>
  <si>
    <t>BEAMS PLUS Short Sleeve Shirt ...</t>
  </si>
  <si>
    <t>syxv140</t>
  </si>
  <si>
    <t>BEAMS PLUS Long Sleeve Check S...</t>
  </si>
  <si>
    <t>syxv142</t>
  </si>
  <si>
    <t>Beams Plus Batik Open Collar S...</t>
  </si>
  <si>
    <t>syxv144</t>
  </si>
  <si>
    <t>Studio D'Artisan Japanese Patt...</t>
  </si>
  <si>
    <t>syxv145</t>
  </si>
  <si>
    <t>BEAMS PLUS Open Collar Short S...</t>
  </si>
  <si>
    <t>syxv148</t>
  </si>
  <si>
    <t>BEAMS+ Short Sleeve Shirt L Bl...</t>
  </si>
  <si>
    <t>syxv149</t>
  </si>
  <si>
    <t>Teddy Unviersity jacket</t>
  </si>
  <si>
    <t>0626V01</t>
  </si>
  <si>
    <t>WhitesVille</t>
  </si>
  <si>
    <t>Veste Teddy RRL</t>
  </si>
  <si>
    <t>0626V02</t>
  </si>
  <si>
    <t>Veste Denim Black RRL</t>
  </si>
  <si>
    <t>0626V03</t>
  </si>
  <si>
    <t>Sweat South2 west8</t>
  </si>
  <si>
    <t>0626V04</t>
  </si>
  <si>
    <t>Sweat South</t>
  </si>
  <si>
    <t>Corduroy Denim Long Sleeve Shirt</t>
  </si>
  <si>
    <t>syxv161</t>
  </si>
  <si>
    <t>#35</t>
  </si>
  <si>
    <t>AURALEE Grey Cut and Sew Top</t>
  </si>
  <si>
    <t>syxv173</t>
  </si>
  <si>
    <t>3 (M)</t>
  </si>
  <si>
    <t>visvim band collar shirt grey</t>
  </si>
  <si>
    <t>syxv177</t>
  </si>
  <si>
    <t>4 (XL)</t>
  </si>
  <si>
    <t>Vestiaire Co</t>
  </si>
  <si>
    <t>Long Sleeve Embroidered Cotton</t>
  </si>
  <si>
    <t>syxv168</t>
  </si>
  <si>
    <t>POST OVERALLS</t>
  </si>
  <si>
    <t>BEAMS PLUS Short Sleeve T-Shirt</t>
  </si>
  <si>
    <t>syxv174</t>
  </si>
  <si>
    <t>Indigo Ripstop Cargo Shorts</t>
  </si>
  <si>
    <t>syxv176</t>
  </si>
  <si>
    <t>Indigo Black Denim Pants</t>
  </si>
  <si>
    <t>syxv175</t>
  </si>
  <si>
    <t>#37</t>
  </si>
  <si>
    <t>Hatski</t>
  </si>
  <si>
    <t>Straight Denim Jeans</t>
  </si>
  <si>
    <t>syxv179</t>
  </si>
  <si>
    <t>Vendu le 13/09, retour contesté mais validé le 24/09. Reçu le XXX; relisté le XXX</t>
  </si>
  <si>
    <t>Studio D'Artisan Tight Straigh...</t>
  </si>
  <si>
    <t>syxv180</t>
  </si>
  <si>
    <t>Studio D'Artisan</t>
  </si>
  <si>
    <t>Big John Denim Blue Waist 84</t>
  </si>
  <si>
    <t>syxv182</t>
  </si>
  <si>
    <t>33 (?)</t>
  </si>
  <si>
    <t>SUGAR CANE Pants 32 Brown SC41...</t>
  </si>
  <si>
    <t>syxv172</t>
  </si>
  <si>
    <t>Denim Shirt Long Sleeve</t>
  </si>
  <si>
    <t>syxv135</t>
  </si>
  <si>
    <t>#36</t>
  </si>
  <si>
    <t>BIG JOHN Heavy Flannel Shirt N...</t>
  </si>
  <si>
    <t>syxv154</t>
  </si>
  <si>
    <t>Cotton Long Sleeve Shirt (L, J...</t>
  </si>
  <si>
    <t>syxv178</t>
  </si>
  <si>
    <t>SUGAR CANE Lunch Jacket L</t>
  </si>
  <si>
    <t>syxv184</t>
  </si>
  <si>
    <t>Long Sleeve Cotton Shirt Navy ...</t>
  </si>
  <si>
    <t>syxv166</t>
  </si>
  <si>
    <t>Tailored Jacket/Cotton/Beige/S...</t>
  </si>
  <si>
    <t>syxv167</t>
  </si>
  <si>
    <t>40 (?)</t>
  </si>
  <si>
    <t>Momotaro Jeans</t>
  </si>
  <si>
    <t>0626V05</t>
  </si>
  <si>
    <t>SUGARCANE Long Sleeve Shirt</t>
  </si>
  <si>
    <t>syxv162</t>
  </si>
  <si>
    <t>#38</t>
  </si>
  <si>
    <t>orSlow 107 Ivy Fit Selvedge Denim</t>
  </si>
  <si>
    <t>syxv192</t>
  </si>
  <si>
    <t>OrSlow</t>
  </si>
  <si>
    <t>French Shirt Coat</t>
  </si>
  <si>
    <t>syxv163</t>
  </si>
  <si>
    <t>L (M)</t>
  </si>
  <si>
    <t>Straight Denim Pants</t>
  </si>
  <si>
    <t>syxv164</t>
  </si>
  <si>
    <t>orSlow Men's Denim Pants</t>
  </si>
  <si>
    <t>syxv188</t>
  </si>
  <si>
    <t>BEAMS+ Checked Long Sleeve Shirt L</t>
  </si>
  <si>
    <t>syxv189</t>
  </si>
  <si>
    <t>#39</t>
  </si>
  <si>
    <t>BEAMS Short Sleeve Shirt L Chambray</t>
  </si>
  <si>
    <t>syxv190</t>
  </si>
  <si>
    <t>Vendu 100€ et ajouté le porte-monnaie UW</t>
  </si>
  <si>
    <t>Pullover Aloha Shirt Vintage</t>
  </si>
  <si>
    <t>syxv194</t>
  </si>
  <si>
    <t>M/L (?)</t>
  </si>
  <si>
    <t>Momotaro Jeans Jacket XL Cotton Black MXOT1300</t>
  </si>
  <si>
    <t>syxv181</t>
  </si>
  <si>
    <t>BEAMS PLUS Short Sleeve Shirt Small Gray Men’s</t>
  </si>
  <si>
    <t>syxv183</t>
  </si>
  <si>
    <t>PORTER Draft 2Way Shoulder Bag...</t>
  </si>
  <si>
    <t>syxv200</t>
  </si>
  <si>
    <t>#40</t>
  </si>
  <si>
    <t>Porter Yoshida</t>
  </si>
  <si>
    <t>PORTER COPPI Sacoche Black</t>
  </si>
  <si>
    <t>syxv202</t>
  </si>
  <si>
    <t>PORTER Freestyle Shoulder Bag ...</t>
  </si>
  <si>
    <t>syxv212</t>
  </si>
  <si>
    <t>PORTER Flannel Reversible Chec...</t>
  </si>
  <si>
    <t>syxv205</t>
  </si>
  <si>
    <t>PORTER FREE STYLE Waist Bag Ca...</t>
  </si>
  <si>
    <t>syxv215</t>
  </si>
  <si>
    <t>Vestiaire Collective</t>
  </si>
  <si>
    <t>BEAMS Plus Cuba Shirt Pile Gre...</t>
  </si>
  <si>
    <t>syxv196</t>
  </si>
  <si>
    <t>#42</t>
  </si>
  <si>
    <t>PORTER MUSETTE Shoulder Bag</t>
  </si>
  <si>
    <t>syxv199</t>
  </si>
  <si>
    <t>PORTER Waist Bag</t>
  </si>
  <si>
    <t>syxv201</t>
  </si>
  <si>
    <t>BEAMS PLUS Stripe Long Sleeve ...</t>
  </si>
  <si>
    <t>syxv217</t>
  </si>
  <si>
    <t>BUNDLE: Beams BEANIE</t>
  </si>
  <si>
    <t>syxv221A</t>
  </si>
  <si>
    <t>BEAMS</t>
  </si>
  <si>
    <t>BUNDLE: Head Porter Plus WALLET</t>
  </si>
  <si>
    <t>syxv221B</t>
  </si>
  <si>
    <t>Head Porter Plus</t>
  </si>
  <si>
    <t>BUNDLE: Head Porter Plus PEN</t>
  </si>
  <si>
    <t>syxv221C</t>
  </si>
  <si>
    <t>BUNDLE: BEAMS Wallet</t>
  </si>
  <si>
    <t>syxv221D</t>
  </si>
  <si>
    <t>BUNDLE: Beams Camo bunde</t>
  </si>
  <si>
    <t>syxv221E</t>
  </si>
  <si>
    <t>BUNDLE: Beams TOTEBAG</t>
  </si>
  <si>
    <t>syxv221F</t>
  </si>
  <si>
    <t>BUNDLE: Head Porter Plus TOTEBAG</t>
  </si>
  <si>
    <t>syxv221G</t>
  </si>
  <si>
    <t>BEAMS T-shirt with pocket, multi-stripe pattern, size L</t>
  </si>
  <si>
    <t>syxv219</t>
  </si>
  <si>
    <t>Beams Plus Stripe Pocket Ringe...</t>
  </si>
  <si>
    <t>syxv226</t>
  </si>
  <si>
    <t>PORTER Musette Shoulder Bag Na...</t>
  </si>
  <si>
    <t>syxv204</t>
  </si>
  <si>
    <t>PORTER Tote Bag Men's</t>
  </si>
  <si>
    <t>syxv214</t>
  </si>
  <si>
    <t>AMERICAN ATHLETIC CO. Navy Lon...</t>
  </si>
  <si>
    <t>syxv218</t>
  </si>
  <si>
    <t>#43</t>
  </si>
  <si>
    <t>T-shirt LS</t>
  </si>
  <si>
    <t>Used Sugar Cane Check Button-D...</t>
  </si>
  <si>
    <t>syxv220</t>
  </si>
  <si>
    <t>BEAMS Knit Sweater Check Blue ...</t>
  </si>
  <si>
    <t>syxv223</t>
  </si>
  <si>
    <t>Jumper</t>
  </si>
  <si>
    <t>Denim Stripe Long Sleeve Shirt</t>
  </si>
  <si>
    <t>syxv224</t>
  </si>
  <si>
    <t xml:space="preserve">Momotaro </t>
  </si>
  <si>
    <t>38 (M?)</t>
  </si>
  <si>
    <t>Men's Shirt (cotton)</t>
  </si>
  <si>
    <t>syxv225</t>
  </si>
  <si>
    <t>Polo LS</t>
  </si>
  <si>
    <t>SUGAR CANE LIGHT Check Shirt M...</t>
  </si>
  <si>
    <t>syxv227</t>
  </si>
  <si>
    <t>orSlow 105 Selvedge Denim Pant...</t>
  </si>
  <si>
    <t>syxv197</t>
  </si>
  <si>
    <t>0726V01</t>
  </si>
  <si>
    <t>Adidas ZX8000</t>
  </si>
  <si>
    <t>0726V02</t>
  </si>
  <si>
    <t>Adidas</t>
  </si>
  <si>
    <t>Corridor shirt</t>
  </si>
  <si>
    <t>0726V03</t>
  </si>
  <si>
    <t>BEAMS Flannel Shirt M Navy Che...</t>
  </si>
  <si>
    <t>syxv228</t>
  </si>
  <si>
    <t>#44</t>
  </si>
  <si>
    <t>Beams Plus Flannel Shirt S Jap...</t>
  </si>
  <si>
    <t>syxv229</t>
  </si>
  <si>
    <t>Sugarcane Check Flannel Shirt ...</t>
  </si>
  <si>
    <t>syxv230</t>
  </si>
  <si>
    <t>Sugar Cane Long Sleeve Shirt C...</t>
  </si>
  <si>
    <t>syxv238</t>
  </si>
  <si>
    <t>Men's shirt (cotton)</t>
  </si>
  <si>
    <t>syxv170</t>
  </si>
  <si>
    <t>Check Shirt with Chin Strap</t>
  </si>
  <si>
    <t>syxv233</t>
  </si>
  <si>
    <t>Post Overalls</t>
  </si>
  <si>
    <t>Sugar Cane Work Shirt Long Sle...</t>
  </si>
  <si>
    <t>syxv244</t>
  </si>
  <si>
    <t>Denim Western Shirt Blue Men's...</t>
  </si>
  <si>
    <t>syxv262</t>
  </si>
  <si>
    <t>2 (L)</t>
  </si>
  <si>
    <t>SUGAR CANE Shirt 3-Pack Button...</t>
  </si>
  <si>
    <t>syxv234G</t>
  </si>
  <si>
    <t>#45</t>
  </si>
  <si>
    <t>syxv234R</t>
  </si>
  <si>
    <t>syxv234Y</t>
  </si>
  <si>
    <t>SUGAR CANE Oxford Shirts 3-Pac...</t>
  </si>
  <si>
    <t>syxv235A</t>
  </si>
  <si>
    <t>syxv235B</t>
  </si>
  <si>
    <t>syxv235C</t>
  </si>
  <si>
    <t>Bandana Pattern Long Sleeve Sh...</t>
  </si>
  <si>
    <t>syxv237</t>
  </si>
  <si>
    <t>Short Sleeve Shirt Linen Polye...</t>
  </si>
  <si>
    <t>syxv231</t>
  </si>
  <si>
    <t>Corridor Seersucker Short Slee...</t>
  </si>
  <si>
    <t>syxv268</t>
  </si>
  <si>
    <t>AURALEE Clothing</t>
  </si>
  <si>
    <t>syxv239</t>
  </si>
  <si>
    <t>#46</t>
  </si>
  <si>
    <t>XS</t>
  </si>
  <si>
    <t>HATSKI Straight Denim Jeans</t>
  </si>
  <si>
    <t>syxv245</t>
  </si>
  <si>
    <t>2? (S/M)</t>
  </si>
  <si>
    <t>Baker Pants</t>
  </si>
  <si>
    <t>syxv254</t>
  </si>
  <si>
    <t>Loose Tapered Denim Indigo Blu...</t>
  </si>
  <si>
    <t>syxv259</t>
  </si>
  <si>
    <t>FOB Factory Stripe Grey Denim</t>
  </si>
  <si>
    <t>syxv260</t>
  </si>
  <si>
    <t>W34</t>
  </si>
  <si>
    <t>BEAMS Corduroy Pants</t>
  </si>
  <si>
    <t>syxv266</t>
  </si>
  <si>
    <t>Men's Pants Green Japan F0242 ...</t>
  </si>
  <si>
    <t>syxv264</t>
  </si>
  <si>
    <t>Edwin Jacket</t>
  </si>
  <si>
    <t>0726V04</t>
  </si>
  <si>
    <t>RL short sleeves shirt</t>
  </si>
  <si>
    <t>0726V05</t>
  </si>
  <si>
    <t>Ralph Lauren</t>
  </si>
  <si>
    <t>Half Zip Sweatshirt</t>
  </si>
  <si>
    <t>syxv261</t>
  </si>
  <si>
    <t>#47</t>
  </si>
  <si>
    <t>Work Shirt 8HOUR UNION</t>
  </si>
  <si>
    <t>syxv263</t>
  </si>
  <si>
    <t>Single-Breasted Pea Coat Navy</t>
  </si>
  <si>
    <t>syxv232</t>
  </si>
  <si>
    <t>40 (M?)</t>
  </si>
  <si>
    <t>Men's Brown Long Sleeve T-Shir...</t>
  </si>
  <si>
    <t>syxv267</t>
  </si>
  <si>
    <t>Still By Hand</t>
  </si>
  <si>
    <t>46 (L?)</t>
  </si>
  <si>
    <t>BEAMS Cardigan L Yellow Men’s</t>
  </si>
  <si>
    <t>syxv275</t>
  </si>
  <si>
    <t>BIG JOHN Buffalo Check Corduro...</t>
  </si>
  <si>
    <t>syxv284</t>
  </si>
  <si>
    <t>Wool Check Long Sleeve Shirt</t>
  </si>
  <si>
    <t>syxv287</t>
  </si>
  <si>
    <t>orSlow</t>
  </si>
  <si>
    <t>2 (S?)</t>
  </si>
  <si>
    <t>Beams Plus Corduroy Pants Khak...</t>
  </si>
  <si>
    <t>syxv265</t>
  </si>
  <si>
    <t>#48</t>
  </si>
  <si>
    <t>orSlow Denim Jeans Japan Size ...</t>
  </si>
  <si>
    <t>syxv280</t>
  </si>
  <si>
    <t>2 (S)</t>
  </si>
  <si>
    <t>Ankle Denim Pants Indigo 32in</t>
  </si>
  <si>
    <t>syxv286</t>
  </si>
  <si>
    <t>W32</t>
  </si>
  <si>
    <t>Momotaro Jeans Denim Pants W34...</t>
  </si>
  <si>
    <t>syxv273</t>
  </si>
  <si>
    <t>W36</t>
  </si>
  <si>
    <t>orSlow New Yorker Easy Pants S...</t>
  </si>
  <si>
    <t>syxv276</t>
  </si>
  <si>
    <t>0826V01</t>
  </si>
  <si>
    <t>Beams+ Jumper</t>
  </si>
  <si>
    <t>0826V02</t>
  </si>
  <si>
    <t>Beams+ Shirt</t>
  </si>
  <si>
    <t>0926V01</t>
  </si>
  <si>
    <t>orSlow Band Collar Shirt Olive...</t>
  </si>
  <si>
    <t>syxv283</t>
  </si>
  <si>
    <t>#49</t>
  </si>
  <si>
    <t>3 (M/L?)</t>
  </si>
  <si>
    <t>Orslow Grey Lightweight Covera...</t>
  </si>
  <si>
    <t>syxv288</t>
  </si>
  <si>
    <t>Gingham Check Button-Down Shir...</t>
  </si>
  <si>
    <t>syxv292</t>
  </si>
  <si>
    <t>BEAMS PLUS Checked Long Sleeve...</t>
  </si>
  <si>
    <t>syxv312</t>
  </si>
  <si>
    <t>Momotaro Jeans Long Sleeve Shi...</t>
  </si>
  <si>
    <t>syxv340</t>
  </si>
  <si>
    <t>BEAMS PLUS Long Sleeve Button-...</t>
  </si>
  <si>
    <t>syxv401</t>
  </si>
  <si>
    <t>SUGAR CANE Work Shirt Long Sle...</t>
  </si>
  <si>
    <t>syxv271</t>
  </si>
  <si>
    <t>orSlow Chambray Denim Work Shi...</t>
  </si>
  <si>
    <t>syxv285</t>
  </si>
  <si>
    <t>2 (S/M)</t>
  </si>
  <si>
    <t>Multi-Stripe Crazy Pattern Lon...</t>
  </si>
  <si>
    <t>syxv348</t>
  </si>
  <si>
    <t>Blue Blue Japan</t>
  </si>
  <si>
    <t>syxv395</t>
  </si>
  <si>
    <t>Shirt SL</t>
  </si>
  <si>
    <t>Filson gilet</t>
  </si>
  <si>
    <t>0926V02</t>
  </si>
  <si>
    <t>Vest</t>
  </si>
  <si>
    <t>Porter BackPack</t>
  </si>
  <si>
    <t>0926V03</t>
  </si>
  <si>
    <t>Bag</t>
  </si>
  <si>
    <t>Beams+ Cardigan</t>
  </si>
  <si>
    <t>0926V04</t>
  </si>
  <si>
    <t>0926V05</t>
  </si>
  <si>
    <t>w33</t>
  </si>
  <si>
    <t>Service Works Pants</t>
  </si>
  <si>
    <t>0926V06</t>
  </si>
  <si>
    <t>Service Works</t>
  </si>
  <si>
    <t>PORTER Mini Pouch Bicolor Blac...</t>
  </si>
  <si>
    <t>syxv307</t>
  </si>
  <si>
    <t>#53</t>
  </si>
  <si>
    <t>Wallet</t>
  </si>
  <si>
    <t>PORTER Yoshida Fabric Pouch</t>
  </si>
  <si>
    <t>syxv356</t>
  </si>
  <si>
    <t>PORTER Pouch Navy/White</t>
  </si>
  <si>
    <t>syxv358</t>
  </si>
  <si>
    <t>PORTER Mesh Pouch White</t>
  </si>
  <si>
    <t>syxv359</t>
  </si>
  <si>
    <t>PORTER Black Drawing Stripe Ca...</t>
  </si>
  <si>
    <t>syxv369</t>
  </si>
  <si>
    <t>PORTER Stripe Black Pass Case</t>
  </si>
  <si>
    <t>syxv376</t>
  </si>
  <si>
    <t>PORTER Bi-fold Wallet Blue</t>
  </si>
  <si>
    <t>syxv383</t>
  </si>
  <si>
    <t>Beams Plus Shirt Check Blue S ...</t>
  </si>
  <si>
    <t>syxv435</t>
  </si>
  <si>
    <t>Corridor Cotton Check Long Sle...</t>
  </si>
  <si>
    <t>syxv438</t>
  </si>
  <si>
    <t>Striped Long Sleeve Work Shirt</t>
  </si>
  <si>
    <t>syxv445</t>
  </si>
  <si>
    <t>40/M?</t>
  </si>
  <si>
    <t>Men's Long Sleeve Dress Shirt</t>
  </si>
  <si>
    <t>syxv447</t>
  </si>
  <si>
    <t>Kamakura</t>
  </si>
  <si>
    <t>M/L</t>
  </si>
  <si>
    <t>SUGAR CANE Check Long Sleeve S...</t>
  </si>
  <si>
    <t>syxv458</t>
  </si>
  <si>
    <t>1026V01</t>
  </si>
  <si>
    <t>Ordinary Fits Pants</t>
  </si>
  <si>
    <t>1026V02</t>
  </si>
  <si>
    <t>Porter bag</t>
  </si>
  <si>
    <t>1026V03</t>
  </si>
  <si>
    <t>Japan Blue Circle jeans</t>
  </si>
  <si>
    <t>1026V04</t>
  </si>
  <si>
    <t>Japan Blue Circle</t>
  </si>
  <si>
    <t>W30</t>
  </si>
  <si>
    <t>Mois en cours -&gt;</t>
  </si>
  <si>
    <t>Grand total</t>
  </si>
  <si>
    <t>Sum of Montant</t>
  </si>
  <si>
    <t>Column Labels</t>
  </si>
  <si>
    <t>Date</t>
  </si>
  <si>
    <t>Achat</t>
  </si>
  <si>
    <t>Montant</t>
  </si>
  <si>
    <t>Total</t>
  </si>
  <si>
    <t>Row Labels</t>
  </si>
  <si>
    <t>3rd party tools</t>
  </si>
  <si>
    <t>Matériel</t>
  </si>
  <si>
    <t>Vinted Promo</t>
  </si>
  <si>
    <t>Autre</t>
  </si>
  <si>
    <t>Grand Total</t>
  </si>
  <si>
    <t>Showcase</t>
  </si>
  <si>
    <t>Jan</t>
  </si>
  <si>
    <t>Vintex</t>
  </si>
  <si>
    <t>Feb</t>
  </si>
  <si>
    <t>Mar</t>
  </si>
  <si>
    <t>Souk</t>
  </si>
  <si>
    <t>Apr</t>
  </si>
  <si>
    <t>Bump 2 items (Real Mc Coys et Sugar Cane jeans)</t>
  </si>
  <si>
    <t>May</t>
  </si>
  <si>
    <t>Jun</t>
  </si>
  <si>
    <t xml:space="preserve">Bump 7 items </t>
  </si>
  <si>
    <t>Jul</t>
  </si>
  <si>
    <t>Aug</t>
  </si>
  <si>
    <t>Sep</t>
  </si>
  <si>
    <t>Hébergement OVH</t>
  </si>
  <si>
    <t>Bump (FM shoes on TBU)</t>
  </si>
  <si>
    <t>Enveloppes</t>
  </si>
  <si>
    <t>Control Resell</t>
  </si>
  <si>
    <t>Kops</t>
  </si>
  <si>
    <t>Storage boxes</t>
  </si>
  <si>
    <t>ChatGPT Pro</t>
  </si>
  <si>
    <t>ACHAT</t>
  </si>
  <si>
    <t>VENTE</t>
  </si>
  <si>
    <t>Articles</t>
  </si>
  <si>
    <t>Prix d'origine</t>
  </si>
  <si>
    <t>Prix remisé</t>
  </si>
  <si>
    <t>FDP + Vinted</t>
  </si>
  <si>
    <t>Cout total</t>
  </si>
  <si>
    <t>Prix total d'origine (articles)</t>
  </si>
  <si>
    <t>Prix total remisé</t>
  </si>
  <si>
    <t>% de remise</t>
  </si>
  <si>
    <t>Nombre d'articles</t>
  </si>
  <si>
    <t>Cout total avec FDP + Vinted</t>
  </si>
  <si>
    <t>Coùt FDP + Vinted</t>
  </si>
  <si>
    <t xml:space="preserve">Cout FDP + Vinted par article </t>
  </si>
  <si>
    <t>Prix listé</t>
  </si>
  <si>
    <t>Comissions vendeur</t>
  </si>
  <si>
    <t>Frais fixes acheteur</t>
  </si>
  <si>
    <t>Ce que je touche</t>
  </si>
  <si>
    <t>Frais acheteur</t>
  </si>
  <si>
    <t>Prix affiché vendeur (prix donné pour 20%, mais en réalité varie de 15% à 28%)</t>
  </si>
  <si>
    <t>URL VINTED</t>
  </si>
  <si>
    <t xml:space="preserve"> KOPS</t>
  </si>
  <si>
    <t>Notion</t>
  </si>
  <si>
    <t>A. Presse</t>
  </si>
  <si>
    <t>Anachronorm</t>
  </si>
  <si>
    <t>BEAMS PLUS</t>
  </si>
  <si>
    <t>Boncoura</t>
  </si>
  <si>
    <t>Cushman</t>
  </si>
  <si>
    <t>Denime</t>
  </si>
  <si>
    <t>Burgus Plus</t>
  </si>
  <si>
    <t>FDMTL</t>
  </si>
  <si>
    <t xml:space="preserve">Buzz Ricksons </t>
  </si>
  <si>
    <t>Hands On</t>
  </si>
  <si>
    <t>Comme des Garçons</t>
  </si>
  <si>
    <t>Comme des Garçons Wallet</t>
  </si>
  <si>
    <t>CUSHMAN</t>
  </si>
  <si>
    <t>Japan Blue</t>
  </si>
  <si>
    <t>Kaptain Sunshine</t>
  </si>
  <si>
    <t>Kojima Genes</t>
  </si>
  <si>
    <t>Loopwheeler</t>
  </si>
  <si>
    <t>Evisu</t>
  </si>
  <si>
    <t>MEPSE &amp; CO.</t>
  </si>
  <si>
    <t>FOB FACTORY</t>
  </si>
  <si>
    <t>Mooncastle</t>
  </si>
  <si>
    <t>Freewheelers &amp; Co</t>
  </si>
  <si>
    <t>Fujito</t>
  </si>
  <si>
    <t>Fullcount</t>
  </si>
  <si>
    <t>Goldwin</t>
  </si>
  <si>
    <t>Pherrow's</t>
  </si>
  <si>
    <t>Goodon</t>
  </si>
  <si>
    <t>Phigvel</t>
  </si>
  <si>
    <t>Pure Blue</t>
  </si>
  <si>
    <t>Pure Blue Japan</t>
  </si>
  <si>
    <t>Issey Miyake</t>
  </si>
  <si>
    <t>Resolute</t>
  </si>
  <si>
    <t>Japan Blue Jeans</t>
  </si>
  <si>
    <t>Rocky Mountain Featherbed</t>
  </si>
  <si>
    <t>Junya Watanabe</t>
  </si>
  <si>
    <t>Sage de Crét</t>
  </si>
  <si>
    <t xml:space="preserve">Kapital </t>
  </si>
  <si>
    <t>Snow Peak</t>
  </si>
  <si>
    <t>South2 West8</t>
  </si>
  <si>
    <t xml:space="preserve">Kojima Genes </t>
  </si>
  <si>
    <t>ssstein</t>
  </si>
  <si>
    <t>Maison Mihara Yasuhiro</t>
  </si>
  <si>
    <t>Master-Piece</t>
  </si>
  <si>
    <t>White Mountaineering</t>
  </si>
  <si>
    <t xml:space="preserve">Mooncastle </t>
  </si>
  <si>
    <t>Wonder Looper</t>
  </si>
  <si>
    <t>Sugarcane</t>
  </si>
  <si>
    <t>Needles</t>
  </si>
  <si>
    <t xml:space="preserve">Omoto denim </t>
  </si>
  <si>
    <t>Oni denim</t>
  </si>
  <si>
    <t>Ordinary fits</t>
  </si>
  <si>
    <t>Pherrow‘s</t>
  </si>
  <si>
    <t>Poliquant</t>
  </si>
  <si>
    <t>Porter / Porter - Yoshida &amp; Co</t>
  </si>
  <si>
    <t>Pure blue japan</t>
  </si>
  <si>
    <t>Sage de cret</t>
  </si>
  <si>
    <t>Samurai</t>
  </si>
  <si>
    <t>Ssstein</t>
  </si>
  <si>
    <t>Sun &amp; surf</t>
  </si>
  <si>
    <t>sure mfg</t>
  </si>
  <si>
    <t>Taiga Takahashi</t>
  </si>
  <si>
    <t>TCB Jeans</t>
  </si>
  <si>
    <t>TS(S)</t>
  </si>
  <si>
    <t>Undercover</t>
  </si>
  <si>
    <t>Warehouse &amp; Co</t>
  </si>
  <si>
    <t>XX Development</t>
  </si>
  <si>
    <t>Yohji Yamamoto</t>
  </si>
  <si>
    <t>YONETOMI</t>
  </si>
  <si>
    <t>Statut article</t>
  </si>
  <si>
    <t>Plateforme vente</t>
  </si>
  <si>
    <t>Statut vente</t>
  </si>
  <si>
    <t>Prix vente</t>
  </si>
  <si>
    <t>Frais vente</t>
  </si>
  <si>
    <t>Remboursement</t>
  </si>
  <si>
    <t>Montant reçu</t>
  </si>
  <si>
    <t>Statut argent</t>
  </si>
  <si>
    <t>Date vente</t>
  </si>
  <si>
    <t>Expédié</t>
  </si>
  <si>
    <t>Livré</t>
  </si>
  <si>
    <t>Finalisé</t>
  </si>
  <si>
    <t>Fonds disponibles</t>
  </si>
  <si>
    <t>sold</t>
  </si>
  <si>
    <t>historique à confirmer</t>
  </si>
  <si>
    <t>inconnu</t>
  </si>
  <si>
    <t>2025-10-18</t>
  </si>
  <si>
    <t>2025-11-07</t>
  </si>
  <si>
    <t>2025-11-17</t>
  </si>
  <si>
    <t>2025-11-23</t>
  </si>
  <si>
    <t>2025-10-13</t>
  </si>
  <si>
    <t>2025-10-21</t>
  </si>
  <si>
    <t>2025-10-22</t>
  </si>
  <si>
    <t>2025-10-25</t>
  </si>
  <si>
    <t>2025-10-29</t>
  </si>
  <si>
    <t>2025-11-10</t>
  </si>
  <si>
    <t>2025-12-09</t>
  </si>
  <si>
    <t>2025-12-16</t>
  </si>
  <si>
    <t>2025-12-05</t>
  </si>
  <si>
    <t>2026-04-21</t>
  </si>
  <si>
    <t>2025-12-08</t>
  </si>
  <si>
    <t>2025-11-02</t>
  </si>
  <si>
    <t>2025-11-29</t>
  </si>
  <si>
    <t>2025-11-30</t>
  </si>
  <si>
    <t>2025-12-23</t>
  </si>
  <si>
    <t>2026-03-03</t>
  </si>
  <si>
    <t>2026-03-22</t>
  </si>
  <si>
    <t>2025-11-01</t>
  </si>
  <si>
    <t>2025-12-04</t>
  </si>
  <si>
    <t>2025-11-19</t>
  </si>
  <si>
    <t>2026-04-02</t>
  </si>
  <si>
    <t>2025-11-24</t>
  </si>
  <si>
    <t>2026-02-12</t>
  </si>
  <si>
    <t>T-shirt</t>
  </si>
  <si>
    <t>2026-01-11</t>
  </si>
  <si>
    <t>2026-01-15</t>
  </si>
  <si>
    <t>2025-12-03</t>
  </si>
  <si>
    <t>2025-12-07</t>
  </si>
  <si>
    <t>2025-12-18</t>
  </si>
  <si>
    <t>2025-12-25</t>
  </si>
  <si>
    <t>2025-11-22</t>
  </si>
  <si>
    <t>2026-01-22</t>
  </si>
  <si>
    <t>2025-12-30</t>
  </si>
  <si>
    <t>2026-01-16</t>
  </si>
  <si>
    <t>2026-01-09</t>
  </si>
  <si>
    <t>2025-12-24</t>
  </si>
  <si>
    <t>2025-12-15</t>
  </si>
  <si>
    <t>2025-12-12</t>
  </si>
  <si>
    <t>2025-12-13</t>
  </si>
  <si>
    <t>2025-12-21</t>
  </si>
  <si>
    <t>2025-12-22</t>
  </si>
  <si>
    <t>2026-01-02</t>
  </si>
  <si>
    <t>2026-01-25</t>
  </si>
  <si>
    <t>2026-02-13</t>
  </si>
  <si>
    <t>2026-01-21</t>
  </si>
  <si>
    <t>2026-01-23</t>
  </si>
  <si>
    <t>2026-02-04</t>
  </si>
  <si>
    <t>2026-02-06</t>
  </si>
  <si>
    <t>2026-06-13</t>
  </si>
  <si>
    <t>2026-02-28</t>
  </si>
  <si>
    <t>2026-02-01</t>
  </si>
  <si>
    <t>2026-01-31</t>
  </si>
  <si>
    <t>2026-01-29</t>
  </si>
  <si>
    <t>2026-03-16</t>
  </si>
  <si>
    <t>2026-01-19</t>
  </si>
  <si>
    <t>2026-01-26</t>
  </si>
  <si>
    <t>2026-01-30</t>
  </si>
  <si>
    <t>2026-03-06</t>
  </si>
  <si>
    <t>2026-02-11</t>
  </si>
  <si>
    <t>listed</t>
  </si>
  <si>
    <t>2026-03-02</t>
  </si>
  <si>
    <t>2026-01-24</t>
  </si>
  <si>
    <t>2026-02-05</t>
  </si>
  <si>
    <t>2026-02-07</t>
  </si>
  <si>
    <t>2026-02-18</t>
  </si>
  <si>
    <t>2026-04-28</t>
  </si>
  <si>
    <t>2026-05-25</t>
  </si>
  <si>
    <t>2026-09-12</t>
  </si>
  <si>
    <t>2026-09-30</t>
  </si>
  <si>
    <t>2026-01-27</t>
  </si>
  <si>
    <t>2026-01-28</t>
  </si>
  <si>
    <t>2026-03-30</t>
  </si>
  <si>
    <t>2026-06-14</t>
  </si>
  <si>
    <t>2026-03-27</t>
  </si>
  <si>
    <t>2026-06-08</t>
  </si>
  <si>
    <t>2026-05-22</t>
  </si>
  <si>
    <t>2026-02-25</t>
  </si>
  <si>
    <t>2026-03-15</t>
  </si>
  <si>
    <t>2026-04-26</t>
  </si>
  <si>
    <t>2026-03-01</t>
  </si>
  <si>
    <t>2026-04-30</t>
  </si>
  <si>
    <t>2026-05-02</t>
  </si>
  <si>
    <t>2026-10-08</t>
  </si>
  <si>
    <t>2026-09-21</t>
  </si>
  <si>
    <t>2026-02-20</t>
  </si>
  <si>
    <t>2026-08-05</t>
  </si>
  <si>
    <t>2026-02-16</t>
  </si>
  <si>
    <t>2026-05-07</t>
  </si>
  <si>
    <t>2026-03-18</t>
  </si>
  <si>
    <t>2026-03-20</t>
  </si>
  <si>
    <t>2026-04-04</t>
  </si>
  <si>
    <t>2026-06-26</t>
  </si>
  <si>
    <t>2026-03-12</t>
  </si>
  <si>
    <t>2026-03-17</t>
  </si>
  <si>
    <t>2026-03-31</t>
  </si>
  <si>
    <t>2026-05-28</t>
  </si>
  <si>
    <t>2026-04-17</t>
  </si>
  <si>
    <t>2026-04-14</t>
  </si>
  <si>
    <t>2026-07-09</t>
  </si>
  <si>
    <t>2026-05-21</t>
  </si>
  <si>
    <t>2026-06-15</t>
  </si>
  <si>
    <t>2026-04-10</t>
  </si>
  <si>
    <t>2026-04-08</t>
  </si>
  <si>
    <t>2026-07-29</t>
  </si>
  <si>
    <t>2026-07-31</t>
  </si>
  <si>
    <t>2026-05-26</t>
  </si>
  <si>
    <t>2026-04-27</t>
  </si>
  <si>
    <t>2026-05-01</t>
  </si>
  <si>
    <t>2026-07-11</t>
  </si>
  <si>
    <t>2026-09-28</t>
  </si>
  <si>
    <t>2026-09-11</t>
  </si>
  <si>
    <t>Straight Denim Jeans Dark Blue</t>
  </si>
  <si>
    <t>2026-04-22</t>
  </si>
  <si>
    <t>2026-05-10</t>
  </si>
  <si>
    <t>Beams Short Sleeve Shirt Gray Navy Stripe L</t>
  </si>
  <si>
    <t>BEAMS Stripe T-Shirt M</t>
  </si>
  <si>
    <t>BEAMS PLUS Short Sleeve Knit M Blue Men</t>
  </si>
  <si>
    <t>2026-09-20</t>
  </si>
  <si>
    <t>2026-05-03</t>
  </si>
  <si>
    <t>2026-06-01</t>
  </si>
  <si>
    <t>2026-05-12</t>
  </si>
  <si>
    <t>2026-05-15</t>
  </si>
  <si>
    <t>2026-05-13</t>
  </si>
  <si>
    <t>2026-09-16</t>
  </si>
  <si>
    <t>2026-05-04</t>
  </si>
  <si>
    <t>Edwin jeans</t>
  </si>
  <si>
    <t>2026-08-06</t>
  </si>
  <si>
    <t>2026-08-08</t>
  </si>
  <si>
    <t>Jeans Edwin</t>
  </si>
  <si>
    <t>2026-05-16</t>
  </si>
  <si>
    <t>2026-05-17</t>
  </si>
  <si>
    <t>2026-06-05</t>
  </si>
  <si>
    <t>2026-06-17</t>
  </si>
  <si>
    <t>2026-05-24</t>
  </si>
  <si>
    <t>2026-09-08</t>
  </si>
  <si>
    <t>2026-05-31</t>
  </si>
  <si>
    <t>2026-05-20</t>
  </si>
  <si>
    <t>2026-09-26</t>
  </si>
  <si>
    <t>2026-06-04</t>
  </si>
  <si>
    <t>2026-09-15</t>
  </si>
  <si>
    <t>2026-08-03</t>
  </si>
  <si>
    <t>2026-10-01</t>
  </si>
  <si>
    <t>2026-06-21</t>
  </si>
  <si>
    <t>2026-06-03</t>
  </si>
  <si>
    <t>2026-08-04</t>
  </si>
  <si>
    <t>2026-06-11</t>
  </si>
  <si>
    <t>2026-07-23</t>
  </si>
  <si>
    <t>2026-06-27</t>
  </si>
  <si>
    <t>2026-07-07</t>
  </si>
  <si>
    <t>2026-06-02</t>
  </si>
  <si>
    <t>2026-06-28</t>
  </si>
  <si>
    <t>2026-07-08</t>
  </si>
  <si>
    <t>2026-10-06</t>
  </si>
  <si>
    <t>2026-09-24</t>
  </si>
  <si>
    <t>2026-09-18</t>
  </si>
  <si>
    <t>2026-10-02</t>
  </si>
  <si>
    <t>2026-06-09</t>
  </si>
  <si>
    <t>2026-09-09</t>
  </si>
  <si>
    <t>2026-06-18</t>
  </si>
  <si>
    <t>2026-07-16</t>
  </si>
  <si>
    <t>2026-06-20</t>
  </si>
  <si>
    <t>2026-07-13</t>
  </si>
  <si>
    <t>2026-08-10</t>
  </si>
  <si>
    <t>2026-06-29</t>
  </si>
  <si>
    <t>2026-06-22</t>
  </si>
  <si>
    <t>2026-09-23</t>
  </si>
  <si>
    <t>2026-07-06</t>
  </si>
  <si>
    <t>2026-07-17</t>
  </si>
  <si>
    <t>2026-07-27</t>
  </si>
  <si>
    <t>2026-07-14</t>
  </si>
  <si>
    <t>2026-07-20</t>
  </si>
  <si>
    <t>2026-08-01</t>
  </si>
  <si>
    <t>2026-10-04</t>
  </si>
  <si>
    <t>2026-09-27</t>
  </si>
  <si>
    <t>2026-07-30</t>
  </si>
  <si>
    <t>awaiting</t>
  </si>
  <si>
    <t>2026-09-22</t>
  </si>
  <si>
    <t>received</t>
  </si>
  <si>
    <t>Plateforme</t>
  </si>
  <si>
    <t>URL</t>
  </si>
  <si>
    <t>ID annonce</t>
  </si>
  <si>
    <t>Prix affiché</t>
  </si>
  <si>
    <t>Date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</si>
</sst>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[$€-2] * #,##0_-;-[$€-2] * #,##0_-;_-[$€-2] * &quot;-&quot;??_-;_-@_-"/>
    <numFmt numFmtId="165" formatCode="0.0"/>
    <numFmt numFmtId="166" formatCode="_-[$€-2] * #,##0.00_-;-[$€-2] * #,##0.00_-;_-[$€-2] * &quot;-&quot;??_-;_-@_-"/>
    <numFmt numFmtId="167" formatCode="_-[$€-2] * #,##0_-;-[$€-2] * #,##0_-;_-[$€-2] * &quot;-&quot;?_-;_-@_-"/>
  </numFmts>
  <fonts count="24" x14ac:knownFonts="1">
    <font>
      <color theme="1"/>
      <family val="2"/>
      <scheme val="minor"/>
      <sz val="11"/>
      <name val="Calibri"/>
    </font>
    <font>
      <color theme="1"/>
      <family val="2"/>
      <scheme val="minor"/>
      <sz val="11"/>
      <name val="Aptos Narrow"/>
    </font>
    <font>
      <b/>
      <color theme="1"/>
      <family val="2"/>
      <scheme val="minor"/>
      <sz val="11"/>
      <name val="Aptos Narrow"/>
    </font>
    <font>
      <b/>
      <i/>
      <color theme="0"/>
      <family val="2"/>
      <scheme val="minor"/>
      <sz val="12"/>
      <name val="Aptos Narrow"/>
    </font>
    <font>
      <b/>
      <i/>
      <color rgb="FFFF0000"/>
      <family val="2"/>
      <scheme val="minor"/>
      <sz val="12"/>
      <name val="Aptos Narrow"/>
    </font>
    <font>
      <b/>
      <i/>
      <color rgb="FFC00000"/>
      <family val="2"/>
      <scheme val="minor"/>
      <sz val="12"/>
      <name val="Aptos Narrow"/>
    </font>
    <font>
      <b/>
      <i/>
      <color theme="4" tint="-0.249977111117893"/>
      <family val="2"/>
      <scheme val="minor"/>
      <sz val="12"/>
      <name val="Aptos Narrow"/>
    </font>
    <font>
      <b/>
      <color rgb="FFC00000"/>
      <family val="2"/>
      <scheme val="minor"/>
      <sz val="12"/>
      <name val="Aptos Narrow"/>
    </font>
    <font>
      <b/>
      <color theme="0"/>
      <family val="2"/>
      <scheme val="minor"/>
      <sz val="12"/>
      <name val="Aptos Narrow"/>
    </font>
    <font>
      <b/>
      <color theme="1"/>
      <family val="2"/>
      <scheme val="minor"/>
      <sz val="12"/>
      <name val="Aptos Narrow"/>
    </font>
    <font>
      <color theme="1"/>
      <family val="2"/>
      <scheme val="minor"/>
      <sz val="12"/>
      <name val="Aptos Narrow"/>
    </font>
    <font>
      <i/>
      <color theme="1"/>
      <family val="2"/>
      <scheme val="minor"/>
      <sz val="11"/>
      <name val="Aptos Narrow"/>
    </font>
    <font>
      <i/>
      <color theme="3"/>
      <family val="2"/>
      <scheme val="minor"/>
      <sz val="12"/>
      <name val="Aptos Narrow"/>
    </font>
    <font>
      <b/>
      <i/>
      <color theme="3"/>
      <family val="2"/>
      <scheme val="minor"/>
      <sz val="12"/>
      <name val="Aptos Narrow"/>
    </font>
    <font>
      <b/>
      <i/>
      <color theme="1"/>
      <family val="2"/>
      <scheme val="minor"/>
      <sz val="11"/>
      <name val="Aptos Narrow"/>
    </font>
    <font>
      <b/>
      <color rgb="FFFF0000"/>
      <family val="2"/>
      <scheme val="minor"/>
      <sz val="11"/>
      <name val="Aptos Narrow"/>
    </font>
    <font>
      <b/>
      <color rgb="FFC00000"/>
      <family val="2"/>
      <scheme val="minor"/>
      <sz val="11"/>
      <name val="Aptos Narrow"/>
    </font>
    <font>
      <b/>
      <color theme="0"/>
      <family val="2"/>
      <scheme val="minor"/>
      <sz val="11"/>
      <name val="Aptos Narrow"/>
    </font>
    <font>
      <color theme="1"/>
      <family val="2"/>
      <scheme val="minor"/>
      <sz val="22"/>
      <name val="Aptos Narrow"/>
    </font>
    <font>
      <b/>
      <color rgb="FF00B050"/>
      <family val="2"/>
      <scheme val="minor"/>
      <sz val="22"/>
      <name val="Aptos Narrow"/>
    </font>
    <font>
      <u/>
      <color theme="10"/>
      <family val="2"/>
      <scheme val="minor"/>
      <sz val="11"/>
      <name val="Aptos Narrow"/>
    </font>
    <font>
      <u/>
      <color rgb="FF467886"/>
      <family val="2"/>
      <scheme val="minor"/>
      <sz val="11"/>
      <name val="Aptos Narrow"/>
    </font>
    <font>
      <family val="2"/>
      <scheme val="minor"/>
      <sz val="11"/>
      <name val="Aptos Narrow"/>
    </font>
    <font>
      <b/>
      <color theme="1"/>
      <family val="2"/>
      <scheme val="minor"/>
      <sz val="16"/>
      <name val="Aptos Narrow"/>
    </font>
  </fonts>
  <fills count="19">
    <fill>
      <patternFill patternType="none"/>
    </fill>
    <fill>
      <patternFill patternType="gray125"/>
    </fill>
    <fill>
      <patternFill patternType="solid">
        <fgColor theme="1" tint="0.1499984740745262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0999786370433668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"/>
        <bgColor theme="0" tint="-0.1499984740745262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/>
      <bottom style="medium">
        <color rgb="FFDFDFDF"/>
      </bottom>
      <diagonal/>
    </border>
    <border>
      <left/>
      <right/>
      <top style="medium">
        <color rgb="FFDDDDDD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4" borderId="0" xfId="0" applyFont="1" applyFill="1"/>
    <xf numFmtId="0" fontId="7" fillId="4" borderId="0" xfId="0" applyFont="1" applyFill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7" fontId="8" fillId="5" borderId="3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6" xfId="0" applyFont="1" applyBorder="1" applyAlignment="1">
      <alignment wrapText="1"/>
    </xf>
    <xf numFmtId="164" fontId="10" fillId="0" borderId="7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9" fillId="0" borderId="8" xfId="0" applyFont="1" applyBorder="1"/>
    <xf numFmtId="0" fontId="9" fillId="0" borderId="9" xfId="0" applyFont="1" applyBorder="1" applyAlignment="1">
      <alignment wrapText="1"/>
    </xf>
    <xf numFmtId="164" fontId="10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0" fontId="9" fillId="0" borderId="10" xfId="0" applyFont="1" applyBorder="1"/>
    <xf numFmtId="0" fontId="9" fillId="0" borderId="11" xfId="0" applyFont="1" applyBorder="1" applyAlignment="1">
      <alignment wrapText="1"/>
    </xf>
    <xf numFmtId="1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/>
    <xf numFmtId="0" fontId="10" fillId="0" borderId="6" xfId="0" applyFont="1" applyBorder="1" applyAlignment="1">
      <alignment wrapText="1"/>
    </xf>
    <xf numFmtId="1" fontId="10" fillId="0" borderId="7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0" fontId="10" fillId="0" borderId="8" xfId="0" applyFont="1" applyBorder="1"/>
    <xf numFmtId="0" fontId="10" fillId="0" borderId="9" xfId="0" applyFont="1" applyBorder="1" applyAlignment="1">
      <alignment wrapText="1"/>
    </xf>
    <xf numFmtId="1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10" fillId="0" borderId="10" xfId="0" applyFont="1" applyBorder="1"/>
    <xf numFmtId="0" fontId="10" fillId="0" borderId="11" xfId="0" applyFont="1" applyBorder="1" applyAlignment="1">
      <alignment wrapText="1"/>
    </xf>
    <xf numFmtId="1" fontId="9" fillId="0" borderId="12" xfId="0" applyNumberFormat="1" applyFont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12" fillId="0" borderId="5" xfId="0" applyFont="1" applyBorder="1"/>
    <xf numFmtId="0" fontId="12" fillId="0" borderId="6" xfId="0" applyFont="1" applyBorder="1" applyAlignment="1">
      <alignment wrapText="1"/>
    </xf>
    <xf numFmtId="164" fontId="12" fillId="0" borderId="7" xfId="0" applyNumberFormat="1" applyFont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0" fontId="12" fillId="0" borderId="8" xfId="0" applyFont="1" applyBorder="1"/>
    <xf numFmtId="0" fontId="12" fillId="0" borderId="9" xfId="0" applyFont="1" applyBorder="1" applyAlignment="1">
      <alignment wrapText="1"/>
    </xf>
    <xf numFmtId="164" fontId="12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0" fontId="12" fillId="0" borderId="13" xfId="0" applyFont="1" applyBorder="1"/>
    <xf numFmtId="0" fontId="12" fillId="0" borderId="14" xfId="0" applyFont="1" applyBorder="1" applyAlignment="1">
      <alignment wrapText="1"/>
    </xf>
    <xf numFmtId="9" fontId="12" fillId="0" borderId="15" xfId="0" applyNumberFormat="1" applyFont="1" applyBorder="1" applyAlignment="1">
      <alignment horizontal="center" vertical="center"/>
    </xf>
    <xf numFmtId="9" fontId="13" fillId="0" borderId="15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9" fontId="12" fillId="0" borderId="14" xfId="0" applyNumberFormat="1" applyFont="1" applyBorder="1" applyAlignment="1">
      <alignment horizontal="center" vertical="center"/>
    </xf>
    <xf numFmtId="0" fontId="14" fillId="0" borderId="0" xfId="0" applyFont="1"/>
    <xf numFmtId="0" fontId="12" fillId="0" borderId="16" xfId="0" applyFont="1" applyBorder="1"/>
    <xf numFmtId="0" fontId="12" fillId="0" borderId="17" xfId="0" applyFont="1" applyBorder="1" applyAlignment="1">
      <alignment wrapText="1"/>
    </xf>
    <xf numFmtId="164" fontId="12" fillId="0" borderId="18" xfId="0" applyNumberFormat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64" fontId="12" fillId="0" borderId="17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5" fontId="12" fillId="0" borderId="18" xfId="0" applyNumberFormat="1" applyFont="1" applyBorder="1" applyAlignment="1">
      <alignment horizontal="center" vertical="center"/>
    </xf>
    <xf numFmtId="165" fontId="13" fillId="0" borderId="18" xfId="0" applyNumberFormat="1" applyFont="1" applyBorder="1" applyAlignment="1">
      <alignment horizontal="center" vertical="center"/>
    </xf>
    <xf numFmtId="165" fontId="12" fillId="0" borderId="17" xfId="0" applyNumberFormat="1" applyFont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 applyAlignment="1">
      <alignment wrapText="1"/>
    </xf>
    <xf numFmtId="9" fontId="12" fillId="0" borderId="12" xfId="0" applyNumberFormat="1" applyFont="1" applyBorder="1" applyAlignment="1">
      <alignment horizontal="center" vertical="center"/>
    </xf>
    <xf numFmtId="9" fontId="13" fillId="0" borderId="12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9" fontId="12" fillId="0" borderId="11" xfId="0" applyNumberFormat="1" applyFont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2" fillId="7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7" fillId="9" borderId="21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17" fontId="2" fillId="0" borderId="22" xfId="0" applyNumberFormat="1" applyFont="1" applyBorder="1"/>
    <xf numFmtId="166" fontId="1" fillId="0" borderId="1" xfId="0" applyNumberFormat="1" applyFont="1" applyBorder="1"/>
    <xf numFmtId="166" fontId="1" fillId="3" borderId="1" xfId="0" applyNumberFormat="1" applyFont="1" applyFill="1" applyBorder="1"/>
    <xf numFmtId="166" fontId="2" fillId="0" borderId="1" xfId="0" applyNumberFormat="1" applyFont="1" applyBorder="1"/>
    <xf numFmtId="166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/>
    <xf numFmtId="17" fontId="2" fillId="0" borderId="23" xfId="0" applyNumberFormat="1" applyFont="1" applyBorder="1"/>
    <xf numFmtId="166" fontId="1" fillId="0" borderId="19" xfId="0" applyNumberFormat="1" applyFont="1" applyBorder="1"/>
    <xf numFmtId="166" fontId="1" fillId="3" borderId="19" xfId="0" applyNumberFormat="1" applyFont="1" applyFill="1" applyBorder="1"/>
    <xf numFmtId="166" fontId="1" fillId="0" borderId="19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/>
    <xf numFmtId="0" fontId="18" fillId="0" borderId="0" xfId="0" applyFont="1"/>
    <xf numFmtId="0" fontId="19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1" fillId="12" borderId="0" xfId="0" applyFont="1" applyFill="1" applyAlignment="1">
      <alignment horizontal="center" vertical="center" wrapText="1"/>
    </xf>
    <xf numFmtId="49" fontId="1" fillId="12" borderId="0" xfId="0" applyNumberFormat="1" applyFont="1" applyFill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24" xfId="0" applyFont="1" applyFill="1" applyBorder="1" applyAlignment="1">
      <alignment horizontal="center" vertical="center" wrapText="1"/>
    </xf>
    <xf numFmtId="14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" fontId="1" fillId="0" borderId="0" xfId="0" applyNumberFormat="1" applyFont="1" applyAlignment="1">
      <alignment horizontal="center"/>
    </xf>
    <xf numFmtId="165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>
      <alignment wrapText="1"/>
    </xf>
    <xf numFmtId="14" fontId="20" fillId="0" borderId="0" xfId="0" applyNumberFormat="1" applyFont="1"/>
    <xf numFmtId="14" fontId="21" fillId="0" borderId="0" xfId="0" applyNumberFormat="1" applyFont="1"/>
    <xf numFmtId="14" fontId="20" fillId="0" borderId="0" xfId="0" applyNumberFormat="1" applyFont="1" applyAlignment="1">
      <alignment horizontal="left" vertical="center"/>
    </xf>
    <xf numFmtId="14" fontId="1" fillId="0" borderId="25" xfId="0" applyNumberFormat="1" applyFont="1" applyBorder="1"/>
    <xf numFmtId="49" fontId="20" fillId="0" borderId="0" xfId="0" applyNumberFormat="1" applyFont="1"/>
    <xf numFmtId="0" fontId="20" fillId="0" borderId="0" xfId="0" applyFont="1"/>
    <xf numFmtId="0" fontId="22" fillId="0" borderId="0" xfId="0" applyFont="1"/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4" fontId="20" fillId="0" borderId="26" xfId="0" applyNumberFormat="1" applyFont="1" applyBorder="1"/>
    <xf numFmtId="0" fontId="20" fillId="0" borderId="26" xfId="0" applyFont="1" applyBorder="1"/>
    <xf numFmtId="14" fontId="20" fillId="0" borderId="0" xfId="0" applyNumberFormat="1" applyFont="1" applyAlignment="1">
      <alignment vertical="center"/>
    </xf>
    <xf numFmtId="14" fontId="20" fillId="0" borderId="27" xfId="0" applyNumberFormat="1" applyFont="1" applyBorder="1"/>
    <xf numFmtId="14" fontId="20" fillId="0" borderId="27" xfId="0" applyNumberFormat="1" applyFont="1" applyBorder="1" applyAlignment="1">
      <alignment vertical="center"/>
    </xf>
    <xf numFmtId="49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left" vertical="top"/>
    </xf>
    <xf numFmtId="1" fontId="22" fillId="0" borderId="0" xfId="0" applyNumberFormat="1" applyFont="1" applyAlignment="1">
      <alignment horizontal="center" vertical="center"/>
    </xf>
    <xf numFmtId="14" fontId="22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center" vertical="center"/>
    </xf>
    <xf numFmtId="0" fontId="10" fillId="0" borderId="0" xfId="0" applyFont="1"/>
    <xf numFmtId="0" fontId="9" fillId="15" borderId="0" xfId="0" applyFont="1" applyFill="1"/>
    <xf numFmtId="166" fontId="9" fillId="15" borderId="0" xfId="0" applyNumberFormat="1" applyFont="1" applyFill="1"/>
    <xf numFmtId="0" fontId="9" fillId="6" borderId="0" xfId="0" applyFont="1" applyFill="1" applyAlignment="1">
      <alignment horizontal="center" vertical="center" wrapText="1"/>
    </xf>
    <xf numFmtId="166" fontId="9" fillId="6" borderId="0" xfId="0" applyNumberFormat="1" applyFont="1" applyFill="1" applyAlignment="1">
      <alignment horizontal="center" vertical="center"/>
    </xf>
    <xf numFmtId="0" fontId="1" fillId="16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7" fontId="1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3" fillId="17" borderId="0" xfId="0" applyFont="1" applyFill="1"/>
    <xf numFmtId="0" fontId="2" fillId="0" borderId="1" xfId="0" applyFont="1" applyBorder="1"/>
    <xf numFmtId="0" fontId="1" fillId="3" borderId="1" xfId="0" applyFont="1" applyFill="1" applyBorder="1"/>
    <xf numFmtId="9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9" fontId="1" fillId="0" borderId="0" xfId="0" applyNumberFormat="1" applyFont="1"/>
    <xf numFmtId="0" fontId="1" fillId="0" borderId="0" xfId="0" applyFont="1" applyAlignment="1">
      <alignment horizontal="center"/>
    </xf>
    <xf numFmtId="14" fontId="1" fillId="18" borderId="28" xfId="0" applyNumberFormat="1" applyFont="1" applyFill="1" applyBorder="1"/>
    <xf numFmtId="166" fontId="1" fillId="18" borderId="28" xfId="0" applyNumberFormat="1" applyFont="1" applyFill="1" applyBorder="1"/>
    <xf numFmtId="167" fontId="1" fillId="18" borderId="28" xfId="0" applyNumberFormat="1" applyFont="1" applyFill="1" applyBorder="1"/>
    <xf numFmtId="14" fontId="1" fillId="0" borderId="28" xfId="0" applyNumberFormat="1" applyFont="1" applyBorder="1"/>
    <xf numFmtId="166" fontId="1" fillId="0" borderId="28" xfId="0" applyNumberFormat="1" applyFont="1" applyBorder="1"/>
    <xf numFmtId="167" fontId="1" fillId="0" borderId="28" xfId="0" applyNumberFormat="1" applyFont="1" applyBorder="1"/>
  </cellXfs>
  <cellStyles count="1">
    <cellStyle name="Normal" xfId="0" builtinId="0"/>
  </cellStyles>
  <dxfs count="14">
    <dxf>
      <fill>
        <gradientFill degree="90">
          <stop position="0">
            <color theme="0"/>
          </stop>
          <stop position="0.5">
            <color rgb="FFF7F297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E79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E79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E79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E79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E79B"/>
          </stop>
          <stop position="1">
            <color theme="0"/>
          </stop>
        </gradientFill>
      </fill>
    </dxf>
    <dxf>
      <fill>
        <patternFill>
          <bgColor theme="9" tint="0.7999816888943144"/>
        </patternFill>
      </fill>
    </dxf>
    <dxf>
      <fill>
        <patternFill>
          <bgColor theme="5" tint="0.7999816888943144"/>
        </patternFill>
      </fill>
    </dxf>
    <dxf>
      <fill>
        <patternFill>
          <bgColor rgb="FFFFFF00"/>
        </patternFill>
      </fill>
    </dxf>
    <dxf>
      <fill>
        <patternFill>
          <bgColor theme="5" tint="0.7999816888943144"/>
        </patternFill>
      </fill>
    </dxf>
    <dxf>
      <fill>
        <patternFill>
          <bgColor theme="9" tint="0.3999450666829432"/>
        </patternFill>
      </fill>
    </dxf>
    <dxf>
      <fill>
        <gradientFill degree="90">
          <stop position="0">
            <color theme="0"/>
          </stop>
          <stop position="0.5">
            <color rgb="FFFFE79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E79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7F297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5.xml"/><Relationship Id="rId5" Type="http://schemas.openxmlformats.org/officeDocument/2006/relationships/worksheet" Target="worksheets/sheet18.xml"/><Relationship Id="rId6" Type="http://schemas.openxmlformats.org/officeDocument/2006/relationships/worksheet" Target="worksheets/sheet23.xml"/><Relationship Id="rId7" Type="http://schemas.openxmlformats.org/officeDocument/2006/relationships/worksheet" Target="worksheets/sheet12.xml"/><Relationship Id="rId8" Type="http://schemas.openxmlformats.org/officeDocument/2006/relationships/worksheet" Target="worksheets/sheet17.xml"/><Relationship Id="rId9" Type="http://schemas.openxmlformats.org/officeDocument/2006/relationships/worksheet" Target="worksheets/sheet21.xml"/><Relationship Id="rId10" Type="http://schemas.openxmlformats.org/officeDocument/2006/relationships/worksheet" Target="worksheets/sheet22.xml"/><Relationship Id="rId11" Type="http://schemas.openxmlformats.org/officeDocument/2006/relationships/worksheet" Target="worksheets/sheet25.xml"/><Relationship Id="rId12" Type="http://schemas.openxmlformats.org/officeDocument/2006/relationships/worksheet" Target="worksheets/sheet1.xml"/><Relationship Id="rId13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able5" displayName="Table5" ref="A2:R41" totalsRowShown="1" headerRowCount="0">
  <autoFilter ref="A2:R4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Famille"/>
    <tableColumn id="2" name="KPIs"/>
    <tableColumn id="3" name="Mois en cours"/>
    <tableColumn id="4" name="Mois précédent"/>
    <tableColumn id="5" name="Année en cours"/>
    <tableColumn id="6" name="Année précédente"/>
    <tableColumn id="7" name="Jan-26"/>
    <tableColumn id="8" name="Feb-26"/>
    <tableColumn id="9" name="Mar-26"/>
    <tableColumn id="10" name="Apr-26"/>
    <tableColumn id="11" name="May-26"/>
    <tableColumn id="12" name="Jun-26"/>
    <tableColumn id="13" name="Jul-26"/>
    <tableColumn id="14" name="Aug-26"/>
    <tableColumn id="15" name="Sep-26"/>
    <tableColumn id="16" name="Oct-26"/>
    <tableColumn id="17" name="Nov-26"/>
    <tableColumn id="18" name="Dec-26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Table3" displayName="Table3" ref="A2:R14" totalsRowShown="1" headerRowCount="0">
  <autoFilter ref="A2:R14">
    <filterColumn colId="0" hiddenButton="1"/>
    <filterColumn colId="1" hiddenButton="1"/>
    <filterColumn colId="2" hiddenButton="1"/>
    <filterColumn colId="3" hiddenButton="1"/>
  </autoFilter>
  <tableColumns count="4">
    <tableColumn id="1" name="Mois"/>
    <tableColumn id="2" name="Trésorerie début de mois"/>
    <tableColumn id="3" name="Valeur du stock en début de mois (prix d'achat)"/>
    <tableColumn id="4" name="Encaissements (CA)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Table8" displayName="Table8" ref="A2:E8" totalsRowShown="1" headerRowCount="0">
  <autoFilter ref="A2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Tranche CA théorique"/>
    <tableColumn id="2" name="Jours ARE"/>
    <tableColumn id="3" name="ARE nette approx"/>
    <tableColumn id="4" name="Zone à risque (arrondis)"/>
    <tableColumn id="5" name="✅ CA max conseillé (safe)"/>
  </tableColumns>
  <tableStyleInfo name="TableStyleDark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name="Table9" displayName="Table9" ref="G2:H5" totalsRowShown="1" headerRowCount="0">
  <autoFilter ref="G2:H5">
    <filterColumn colId="0" hiddenButton="1"/>
    <filterColumn colId="1" hiddenButton="1"/>
  </autoFilter>
  <tableColumns count="2">
    <tableColumn id="1" name="Élément"/>
    <tableColumn id="2" name="Valeur"/>
  </tableColumns>
  <tableStyleInfo name="TableStyleDark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name="Table1368" displayName="Table1368" ref="A1:AD414" totalsRowShown="1" headerRowCount="0">
  <autoFilter ref="A1:AD4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Date achat"/>
    <tableColumn id="2" name="Article"/>
    <tableColumn id="3" name="SKU"/>
    <tableColumn id="4" name="ZM order"/>
    <tableColumn id="5" name="Poid (gr)"/>
    <tableColumn id="6" name="Catégorie"/>
    <tableColumn id="7" name="Marque"/>
    <tableColumn id="8" name="Taille"/>
    <tableColumn id="9" name="Acheté sur"/>
    <tableColumn id="10" name="Achat Notes"/>
    <tableColumn id="11" name="Prix article"/>
    <tableColumn id="12" name="Frais plateforme + envoi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name="Table1" displayName="Table1" ref="A2:D68" totalsRowShown="1" headerRowCount="0">
  <autoFilter ref="A2:D68">
    <filterColumn colId="0" hiddenButton="1"/>
    <filterColumn colId="1" hiddenButton="1"/>
    <filterColumn colId="2" hiddenButton="1"/>
    <filterColumn colId="3" hiddenButton="1"/>
  </autoFilter>
  <tableColumns count="4">
    <tableColumn id="1" name="Date"/>
    <tableColumn id="2" name="Catégorie"/>
    <tableColumn id="3" name="Achat"/>
    <tableColumn id="4" name="Montant"/>
  </tableColumns>
  <tableStyleInfo name="TableStyleMedium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name="Table6" displayName="Table6" ref="F2:G14" totalsRowShown="1" headerRowCount="0">
  <autoFilter ref="F2:G14">
    <filterColumn colId="0" hiddenButton="1"/>
    <filterColumn colId="1" hiddenButton="1"/>
  </autoFilter>
  <tableColumns count="2">
    <tableColumn id="1" name="Mois"/>
    <tableColumn id="2" name="Total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name="Table2" displayName="Table2" ref="B2:F30" totalsRowShown="1" headerRowCount="0">
  <autoFilter ref="B2:F30">
    <filterColumn colId="0" hiddenButton="1"/>
    <filterColumn colId="1" hiddenButton="1"/>
    <filterColumn colId="2" hiddenButton="1"/>
  </autoFilter>
  <tableColumns count="3">
    <tableColumn id="1" name="Articles"/>
    <tableColumn id="2" name="Prix d'origine"/>
    <tableColumn id="3" name="Prix remisé"/>
  </tableColumns>
  <tableStyleInfo name="TableStyleMedium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name="Table4" displayName="Table4" ref="B2:G16" totalsRowShown="1" headerRowCount="0">
  <autoFilter ref="B2:G16">
    <filterColumn colId="0" hiddenButton="1"/>
    <filterColumn colId="1" hiddenButton="1"/>
  </autoFilter>
  <tableColumns count="2">
    <tableColumn id="1" name="Prix listé"/>
    <tableColumn id="2" name="Comissions vendeur"/>
  </tableColumns>
  <tableStyleInfo name="TableStyleMedium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name="Table10" displayName="Table10" ref="A1:A44" totalsRowShown="1" headerRowCount="0">
  <autoFilter ref="A1:A44">
    <filterColumn colId="0" hiddenButton="1"/>
  </autoFilter>
  <tableColumns count="1">
    <tableColumn id="1" name="URL VINTED"/>
  </tableColumns>
  <tableStyleInfo name="TableStyleMedium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name="Table1012" displayName="Table1012" ref="C1:C44" totalsRowShown="1" headerRowCount="0">
  <autoFilter ref="C1:C44">
    <filterColumn colId="0" hiddenButton="1"/>
  </autoFilter>
  <tableColumns count="1">
    <tableColumn id="1" name=" KOPS"/>
  </tableColumns>
  <tableStyleInfo name="TableStyleMedium10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name="Table12" displayName="Table12" ref="E1:E78" totalsRowShown="1" headerRowCount="0">
  <autoFilter ref="E1:E78">
    <filterColumn colId="0" hiddenButton="1"/>
  </autoFilter>
  <tableColumns count="1">
    <tableColumn id="1" name="Notio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zenmarket.jp/mercariproduct.aspx?itemCode=m72869813321" TargetMode="External"/><Relationship Id="rId2" Type="http://schemas.openxmlformats.org/officeDocument/2006/relationships/hyperlink" Target="https://zenmarket.jp/mercariproduct.aspx?itemCode=m43239808581" TargetMode="External"/><Relationship Id="rId3" Type="http://schemas.openxmlformats.org/officeDocument/2006/relationships/hyperlink" Target="https://zenmarket.jp/fr/mercariproduct.aspx?itemCode=m55339630770&amp;_gl=1*1fmvfg5*_up*MQ..*_ga*MTA0MjA1NzY4NS4xNzUwNTExNTg5*_ga_LGLDRPP0Y9*czE3NTkxNTgyODckbzEyNiRnMSR0MTc1OTE1ODQwNiRqMjMkbDAkaDA." TargetMode="External"/><Relationship Id="rId4" Type="http://schemas.openxmlformats.org/officeDocument/2006/relationships/hyperlink" Target="https://zenmarket.jp/en/mercariproduct.aspx?itemCode=m87858888311&amp;_gl=1*hlme3o*_up*MQ..*_ga*MTA0MjA1NzY4NS4xNzUwNTExNTg5*_ga_LGLDRPP0Y9*czE3NTkxNTgyODckbzEyNiRnMSR0MTc1OTE1ODQyNyRqMiRsMCRoMA.." TargetMode="External"/><Relationship Id="rId5" Type="http://schemas.openxmlformats.org/officeDocument/2006/relationships/hyperlink" Target="https://zenmarket.jp/fr/mercariproduct.aspx?itemCode=m51232276296&amp;_gl=1*1x3s1x0*_up*MQ..*_ga*MTA0MjA1NzY4NS4xNzUwNTExNTg5*_ga_LGLDRPP0Y9*czE3NTkxNTgyODckbzEyNiRnMSR0MTc1OTE1ODQwNiRqMjMkbDAkaDA." TargetMode="External"/><Relationship Id="rId6" Type="http://schemas.openxmlformats.org/officeDocument/2006/relationships/hyperlink" Target="https://zenmarket.jp/mercariproduct.aspx?itemCode=m33306514255" TargetMode="External"/><Relationship Id="rId7" Type="http://schemas.openxmlformats.org/officeDocument/2006/relationships/hyperlink" Target="https://zenmarket.jp/mercariproduct.aspx?itemCode=m35188178274" TargetMode="External"/><Relationship Id="rId8" Type="http://schemas.openxmlformats.org/officeDocument/2006/relationships/hyperlink" Target="https://zenmarket.jp/en/mercariproduct.aspx?itemCode=m26404237246&amp;_gl=1*2rcdrf*_up*MQ..*_ga*MTA0MjA1NzY4NS4xNzUwNTExNTg5*_ga_LGLDRPP0Y9*czE3NTg3MjIxOTckbzEyMCRnMSR0MTc1ODcyMjIxMSRqNDYkbDAkaDA." TargetMode="External"/><Relationship Id="rId9" Type="http://schemas.openxmlformats.org/officeDocument/2006/relationships/hyperlink" Target="https://zenmarket.jp/fr/mercariproduct.aspx?itemCode=m33495200070&amp;_gl=1*1x3s1x0*_up*MQ..*_ga*MTA0MjA1NzY4NS4xNzUwNTExNTg5*_ga_LGLDRPP0Y9*czE3NTkxNTgyODckbzEyNiRnMSR0MTc1OTE1ODQwNiRqMjMkbDAkaDA." TargetMode="External"/><Relationship Id="rId10" Type="http://schemas.openxmlformats.org/officeDocument/2006/relationships/hyperlink" Target="https://zenmarket.jp/auction.aspx?itemCode=b1192445741" TargetMode="External"/><Relationship Id="rId11" Type="http://schemas.openxmlformats.org/officeDocument/2006/relationships/hyperlink" Target="https://zenmarket.jp/mercariproduct.aspx?itemCode=m55339630770" TargetMode="External"/><Relationship Id="rId12" Type="http://schemas.openxmlformats.org/officeDocument/2006/relationships/hyperlink" Target="https://zenmarket.jp/auction.aspx?itemCode=k1174569804&amp;_gl=1*1k9tqkz*_up*MQ..*_ga*MTA0MjA1NzY4NS4xNzUwNTExNTg5*_ga_LGLDRPP0Y9*czE3NjA2MDE3NDAkbzEzNiRnMSR0MTc2MDYwMTc0NSRqNTUkbDAkaDA." TargetMode="External"/><Relationship Id="rId13" Type="http://schemas.openxmlformats.org/officeDocument/2006/relationships/hyperlink" Target="https://zenmarket.jp/fr/calc.aspx" TargetMode="External"/><Relationship Id="rId14" Type="http://schemas.openxmlformats.org/officeDocument/2006/relationships/hyperlink" Target="https://zenmarket.jp/auction.aspx?itemCode=k1174569804&amp;_gl=1*1k9tqkz*_up*MQ..*_ga*MTA0MjA1NzY4NS4xNzUwNTExNTg5*_ga_LGLDRPP0Y9*czE3NjA2MDE3NDAkbzEzNiRnMSR0MTc2MDYwMTc0NSRqNTUkbDAkaDA." TargetMode="External"/><Relationship Id="rId15" Type="http://schemas.openxmlformats.org/officeDocument/2006/relationships/hyperlink" Target="https://www.vinted.com/items/7505842646-pull-col-rond" TargetMode="External"/><Relationship Id="rId16" Type="http://schemas.openxmlformats.org/officeDocument/2006/relationships/hyperlink" Target="https://www.vinted.com/items/7505003389-chemise-octobre" TargetMode="External"/><Relationship Id="rId17" Type="http://schemas.openxmlformats.org/officeDocument/2006/relationships/hyperlink" Target="https://www.vinted.com/items/7521888110-t-shirt-a-manches-longues-uniqlo" TargetMode="External"/><Relationship Id="rId18" Type="http://schemas.openxmlformats.org/officeDocument/2006/relationships/hyperlink" Target="https://www.vinted.com/items/7521831718-cardigan-uniqlo" TargetMode="External"/><Relationship Id="rId19" Type="http://schemas.openxmlformats.org/officeDocument/2006/relationships/hyperlink" Target="https://www.vinted.com/items/7524885528-jean-noir-homme-edwin-taille-l" TargetMode="External"/><Relationship Id="rId20" Type="http://schemas.openxmlformats.org/officeDocument/2006/relationships/hyperlink" Target="https://www.vinted.com/items/7551932029-new-balance-1500" TargetMode="External"/><Relationship Id="rId21" Type="http://schemas.openxmlformats.org/officeDocument/2006/relationships/hyperlink" Target="https://www.vinted.com/items/7540130534-mannenjeans-edwin" TargetMode="External"/><Relationship Id="rId22" Type="http://schemas.openxmlformats.org/officeDocument/2006/relationships/hyperlink" Target="https://www.vinted.com/items/7557354884-maglioncino-uniqlo-uomo" TargetMode="External"/><Relationship Id="rId23" Type="http://schemas.openxmlformats.org/officeDocument/2006/relationships/hyperlink" Target="https://www.vinted.com/items/7559507057-pull-homme-uniqlo" TargetMode="External"/><Relationship Id="rId24" Type="http://schemas.openxmlformats.org/officeDocument/2006/relationships/hyperlink" Target="https://www.vinted.com/items/7557376168-girocollo-uniqlo-uomo" TargetMode="External"/><Relationship Id="rId25" Type="http://schemas.openxmlformats.org/officeDocument/2006/relationships/hyperlink" Target="https://www.vinted.com/items/7559249415-pull-col-montant-uniqlo-homme" TargetMode="External"/><Relationship Id="rId26" Type="http://schemas.openxmlformats.org/officeDocument/2006/relationships/hyperlink" Target="https://www.vinted.com/items/7559229366-pull-homme-col-montant-uniqlo" TargetMode="External"/><Relationship Id="rId27" Type="http://schemas.openxmlformats.org/officeDocument/2006/relationships/hyperlink" Target="https://www.vinted.com/items/7568928695-jeans-edwin-uomo-taglia-33" TargetMode="External"/><Relationship Id="rId28" Type="http://schemas.openxmlformats.org/officeDocument/2006/relationships/hyperlink" Target="https://www.vinted.com/items/7570472881-t-shirt-kith" TargetMode="External"/><Relationship Id="rId29" Type="http://schemas.openxmlformats.org/officeDocument/2006/relationships/hyperlink" Target="https://www.vinted.com/inbox/19227697023" TargetMode="External"/><Relationship Id="rId30" Type="http://schemas.openxmlformats.org/officeDocument/2006/relationships/hyperlink" Target="https://www.vinted.com/items/7587344466-mens-folk-collared-zip-up-polo-size-xl" TargetMode="External"/><Relationship Id="rId31" Type="http://schemas.openxmlformats.org/officeDocument/2006/relationships/hyperlink" Target="https://www.vinted.com/items/7591270024-clarks-wallabees" TargetMode="External"/><Relationship Id="rId32" Type="http://schemas.openxmlformats.org/officeDocument/2006/relationships/hyperlink" Target="https://www.vinted.com/items/7621756955-pantalon-laine-octobre-edition" TargetMode="External"/><Relationship Id="rId33" Type="http://schemas.openxmlformats.org/officeDocument/2006/relationships/hyperlink" Target="https://www.vinted.com/items/7632145919-mooie-jas-lacoste-maat-50-4" TargetMode="External"/><Relationship Id="rId34" Type="http://schemas.openxmlformats.org/officeDocument/2006/relationships/hyperlink" Target="https://www.vinted.com/items/7632273457-mooie-trui-nn07" TargetMode="External"/><Relationship Id="rId35" Type="http://schemas.openxmlformats.org/officeDocument/2006/relationships/hyperlink" Target="https://www.vinted.com/items/7644708439-jean-edwin-ed-55-selveged" TargetMode="External"/><Relationship Id="rId36" Type="http://schemas.openxmlformats.org/officeDocument/2006/relationships/hyperlink" Target="https://www.vinted.com/items/7646309640-pantalon-edwin-talla-32" TargetMode="External"/><Relationship Id="rId37" Type="http://schemas.openxmlformats.org/officeDocument/2006/relationships/hyperlink" Target="https://www.vinted.com/items/7656484217-pull-over" TargetMode="External"/><Relationship Id="rId38" Type="http://schemas.openxmlformats.org/officeDocument/2006/relationships/hyperlink" Target="https://www.vinted.com/items/7663302424-manteau-homme-taille-m" TargetMode="External"/><Relationship Id="rId39" Type="http://schemas.openxmlformats.org/officeDocument/2006/relationships/hyperlink" Target="https://www.vinted.com/items/7666157641-trui-nn07" TargetMode="External"/><Relationship Id="rId40" Type="http://schemas.openxmlformats.org/officeDocument/2006/relationships/hyperlink" Target="https://www.vinted.com/items/7671724801-jean-octobre-homme-taille-40" TargetMode="External"/><Relationship Id="rId41" Type="http://schemas.openxmlformats.org/officeDocument/2006/relationships/hyperlink" Target="https://www.vinted.com/items/7671660979-jean-bleu-marine-edwin-42" TargetMode="External"/><Relationship Id="rId42" Type="http://schemas.openxmlformats.org/officeDocument/2006/relationships/hyperlink" Target="https://www.vinted.com/items/7669923659-jeans-selvedge-edwin" TargetMode="External"/><Relationship Id="rId43" Type="http://schemas.openxmlformats.org/officeDocument/2006/relationships/hyperlink" Target="https://www.vinted.com/items/7671433848-jean-bleu-marine-uniqlo-42" TargetMode="External"/><Relationship Id="rId44" Type="http://schemas.openxmlformats.org/officeDocument/2006/relationships/hyperlink" Target="https://www.vinted.com/items/7671433848-jean-bleu-marine-uniqlo-42" TargetMode="External"/><Relationship Id="rId45" Type="http://schemas.openxmlformats.org/officeDocument/2006/relationships/hyperlink" Target="https://www.vinted.com/items/7671518422-jean-uniqlo-gris-fonce-42" TargetMode="External"/><Relationship Id="rId46" Type="http://schemas.openxmlformats.org/officeDocument/2006/relationships/hyperlink" Target="https://www.vinted.com/items/7671518422-jean-uniqlo-gris-fonce-42" TargetMode="External"/><Relationship Id="rId47" Type="http://schemas.openxmlformats.org/officeDocument/2006/relationships/hyperlink" Target="https://www.vinted.com/items/7664364111-pull-uniqlo-style-polo-longues-manches-xl-gris" TargetMode="External"/><Relationship Id="rId48" Type="http://schemas.openxmlformats.org/officeDocument/2006/relationships/hyperlink" Target="https://www.vinted.com/items/7670105960-jeans" TargetMode="External"/><Relationship Id="rId49" Type="http://schemas.openxmlformats.org/officeDocument/2006/relationships/hyperlink" Target="https://www.vinted.fr/items/7683172690-sweat-homme" TargetMode="External"/><Relationship Id="rId50" Type="http://schemas.openxmlformats.org/officeDocument/2006/relationships/hyperlink" Target="https://www.vinted.com/items/6148965271-gilet-zippe-uniqlo" TargetMode="External"/><Relationship Id="rId51" Type="http://schemas.openxmlformats.org/officeDocument/2006/relationships/hyperlink" Target="https://www.vinted.com/items/7690787015-veste-le-laboureur" TargetMode="External"/><Relationship Id="rId52" Type="http://schemas.openxmlformats.org/officeDocument/2006/relationships/hyperlink" Target="https://www.vinted.com/items/7690153923-jeans-edwin" TargetMode="External"/><Relationship Id="rId53" Type="http://schemas.openxmlformats.org/officeDocument/2006/relationships/hyperlink" Target="https://www.vinted.com/items/7697147335-pull-uniqlo-homme-taillai-m" TargetMode="External"/><Relationship Id="rId54" Type="http://schemas.openxmlformats.org/officeDocument/2006/relationships/hyperlink" Target="https://zenmarket.jp/en/mercariproduct.aspx?itemCode=m23965284901&amp;_gl=1*1lkm2qd*_up*MQ..*_ga*Nzk3NTgxNzIwLjE3NjEzMTk4ODE.*_ga_LGLDRPP0Y9*czE3NjQ5NDEzMTUkbzI1JGcxJHQxNzY0OTQzNzg1JGo2MCRsMCRoMA.." TargetMode="External"/><Relationship Id="rId55" Type="http://schemas.openxmlformats.org/officeDocument/2006/relationships/hyperlink" Target="https://zenmarket.jp/en/mercariproduct.aspx?itemCode=m70869825438&amp;_gl=1*1lkm2qd*_up*MQ..*_ga*Nzk3NTgxNzIwLjE3NjEzMTk4ODE.*_ga_LGLDRPP0Y9*czE3NjQ5NDEzMTUkbzI1JGcxJHQxNzY0OTQzNzg1JGo2MCRsMCRoMA.." TargetMode="External"/><Relationship Id="rId56" Type="http://schemas.openxmlformats.org/officeDocument/2006/relationships/hyperlink" Target="https://zenmarket.jp/en/mercariproduct.aspx?itemCode=m67276561711&amp;_gl=1*1lkm2qd*_up*MQ..*_ga*Nzk3NTgxNzIwLjE3NjEzMTk4ODE.*_ga_LGLDRPP0Y9*czE3NjQ5NDEzMTUkbzI1JGcxJHQxNzY0OTQzNzg1JGo2MCRsMCRoMA.." TargetMode="External"/><Relationship Id="rId57" Type="http://schemas.openxmlformats.org/officeDocument/2006/relationships/hyperlink" Target="https://zenmarket.jp/en/mercariproduct.aspx?itemCode=m78212613424&amp;_gl=1*1lkm2qd*_up*MQ..*_ga*Nzk3NTgxNzIwLjE3NjEzMTk4ODE.*_ga_LGLDRPP0Y9*czE3NjQ5NDEzMTUkbzI1JGcxJHQxNzY0OTQzNzg1JGo2MCRsMCRoMA.." TargetMode="External"/><Relationship Id="rId58" Type="http://schemas.openxmlformats.org/officeDocument/2006/relationships/hyperlink" Target="https://zenmarket.jp/en/mercariproduct.aspx?itemCode=m94313217218&amp;_gl=1*1lkm2qd*_up*MQ..*_ga*Nzk3NTgxNzIwLjE3NjEzMTk4ODE.*_ga_LGLDRPP0Y9*czE3NjQ5NDEzMTUkbzI1JGcxJHQxNzY0OTQzNzg1JGo2MCRsMCRoMA.." TargetMode="External"/><Relationship Id="rId59" Type="http://schemas.openxmlformats.org/officeDocument/2006/relationships/hyperlink" Target="https://zenmarket.jp/en/mercariproduct.aspx?itemCode=m69516314253&amp;_gl=1*1lkm2qd*_up*MQ..*_ga*Nzk3NTgxNzIwLjE3NjEzMTk4ODE.*_ga_LGLDRPP0Y9*czE3NjQ5NDEzMTUkbzI1JGcxJHQxNzY0OTQzNzg1JGo2MCRsMCRoMA.." TargetMode="External"/><Relationship Id="rId60" Type="http://schemas.openxmlformats.org/officeDocument/2006/relationships/hyperlink" Target="https://zenmarket.jp/en/mercariproduct.aspx?itemCode=m42507022310&amp;_gl=1*1lkm2qd*_up*MQ..*_ga*Nzk3NTgxNzIwLjE3NjEzMTk4ODE.*_ga_LGLDRPP0Y9*czE3NjQ5NDEzMTUkbzI1JGcxJHQxNzY0OTQzNzg1JGo2MCRsMCRoMA.." TargetMode="External"/><Relationship Id="rId61" Type="http://schemas.openxmlformats.org/officeDocument/2006/relationships/hyperlink" Target="https://www.vinted.com/items/7718807893-jean-edwin" TargetMode="External"/><Relationship Id="rId62" Type="http://schemas.openxmlformats.org/officeDocument/2006/relationships/hyperlink" Target="https://www.vinted.com/items/7767088140-veste-nn07" TargetMode="External"/><Relationship Id="rId63" Type="http://schemas.openxmlformats.org/officeDocument/2006/relationships/hyperlink" Target="https://www.vinted.com/items/7779583839-khaki-gevoerd-jack-nn07" TargetMode="External"/><Relationship Id="rId64" Type="http://schemas.openxmlformats.org/officeDocument/2006/relationships/hyperlink" Target="https://www.vinted.com/items/7783944093-jean-noir-edwin-neuf-sans-etiquette" TargetMode="External"/><Relationship Id="rId65" Type="http://schemas.openxmlformats.org/officeDocument/2006/relationships/hyperlink" Target="https://www.vinted.com/items/7788904965-jeans-edwin" TargetMode="External"/><Relationship Id="rId66" Type="http://schemas.openxmlformats.org/officeDocument/2006/relationships/hyperlink" Target="https://www.vinted.com/items/7807023993-pull-a-rayures" TargetMode="External"/><Relationship Id="rId67" Type="http://schemas.openxmlformats.org/officeDocument/2006/relationships/hyperlink" Target="https://www.vinted.com/items/7825974290-jean-edwin" TargetMode="External"/><Relationship Id="rId68" Type="http://schemas.openxmlformats.org/officeDocument/2006/relationships/hyperlink" Target="https://www.vinted.fr/items/7841934208-jean-edwin-taille-3133" TargetMode="External"/><Relationship Id="rId69" Type="http://schemas.openxmlformats.org/officeDocument/2006/relationships/hyperlink" Target="https://www.vinted.fr/items/7841976970-edwin-taille-31x34" TargetMode="External"/><Relationship Id="rId70" Type="http://schemas.openxmlformats.org/officeDocument/2006/relationships/hyperlink" Target="https://www.vinted.fr/items/7842196827-jean-edwin-gris-chine" TargetMode="External"/><Relationship Id="rId71" Type="http://schemas.openxmlformats.org/officeDocument/2006/relationships/hyperlink" Target="https://www.vinted.fr/items/7835372932-t-shirt-manches-longues-goodies-sportive" TargetMode="External"/><Relationship Id="rId72" Type="http://schemas.openxmlformats.org/officeDocument/2006/relationships/hyperlink" Target="https://www.vinted.com/items/7869666717-pantalon-jean-edwin" TargetMode="External"/><Relationship Id="rId73" Type="http://schemas.openxmlformats.org/officeDocument/2006/relationships/hyperlink" Target="https://www.vinted.com/items/7879440785-longsleeve-nn07" TargetMode="External"/><Relationship Id="rId74" Type="http://schemas.openxmlformats.org/officeDocument/2006/relationships/hyperlink" Target="https://www.vinted.fr/items/7885147828-edwin-ed85" TargetMode="External"/><Relationship Id="rId75" Type="http://schemas.openxmlformats.org/officeDocument/2006/relationships/hyperlink" Target="https://www.vinted.com/items/7889912841-hoodie-ronning-heavyweight" TargetMode="External"/><Relationship Id="rId76" Type="http://schemas.openxmlformats.org/officeDocument/2006/relationships/hyperlink" Target="https://www.vinted.com/items/7889427082-new-balance-993" TargetMode="External"/><Relationship Id="rId77" Type="http://schemas.openxmlformats.org/officeDocument/2006/relationships/hyperlink" Target="https://www.vinted.com/items/7888299423-hoodie-ronning-heavyweight" TargetMode="External"/><Relationship Id="rId78" Type="http://schemas.openxmlformats.org/officeDocument/2006/relationships/hyperlink" Target="https://www.vinted.com/items/7896774314-polaire-aime-leon-dore" TargetMode="External"/><Relationship Id="rId79" Type="http://schemas.openxmlformats.org/officeDocument/2006/relationships/hyperlink" Target="https://www.vinted.com/items/7896774326-polaire-aime-leon-dore-comme-neuve" TargetMode="External"/><Relationship Id="rId80" Type="http://schemas.openxmlformats.org/officeDocument/2006/relationships/hyperlink" Target="https://zenmarket.jp/auction.aspx?itemCode=t1214018827" TargetMode="External"/><Relationship Id="rId81" Type="http://schemas.openxmlformats.org/officeDocument/2006/relationships/hyperlink" Target="https://zenmarket.jp/auction.aspx?itemCode=k1214013944" TargetMode="External"/><Relationship Id="rId82" Type="http://schemas.openxmlformats.org/officeDocument/2006/relationships/hyperlink" Target="https://zenmarket.jp/auction.aspx?itemCode=d1213576520" TargetMode="External"/><Relationship Id="rId83" Type="http://schemas.openxmlformats.org/officeDocument/2006/relationships/hyperlink" Target="https://www.vinted.com/items/7924520450-veste-k-way-claude-30" TargetMode="External"/><Relationship Id="rId84" Type="http://schemas.openxmlformats.org/officeDocument/2006/relationships/hyperlink" Target="https://zenmarket.jp/auction.aspx?itemCode=1211415574" TargetMode="External"/><Relationship Id="rId85" Type="http://schemas.openxmlformats.org/officeDocument/2006/relationships/hyperlink" Target="https://zenmarket.jp/auction.aspx?itemCode=n1214249197" TargetMode="External"/><Relationship Id="rId86" Type="http://schemas.openxmlformats.org/officeDocument/2006/relationships/hyperlink" Target="https://zenmarket.jp/auction.aspx?itemCode=u1135265266" TargetMode="External"/><Relationship Id="rId87" Type="http://schemas.openxmlformats.org/officeDocument/2006/relationships/hyperlink" Target="https://zenmarket.jp/auction.aspx?itemCode=c1205709048" TargetMode="External"/><Relationship Id="rId88" Type="http://schemas.openxmlformats.org/officeDocument/2006/relationships/hyperlink" Target="https://zenmarket.jp/auction.aspx?itemCode=n334428885" TargetMode="External"/><Relationship Id="rId89" Type="http://schemas.openxmlformats.org/officeDocument/2006/relationships/hyperlink" Target="https://zenmarket.jp/auction.aspx?itemCode=m1121415558" TargetMode="External"/><Relationship Id="rId90" Type="http://schemas.openxmlformats.org/officeDocument/2006/relationships/hyperlink" Target="https://zenmarket.jp/auction.aspx?itemCode=p1197699407" TargetMode="External"/><Relationship Id="rId91" Type="http://schemas.openxmlformats.org/officeDocument/2006/relationships/hyperlink" Target="https://zenmarket.jp/auction.aspx?itemCode=e1199449591" TargetMode="External"/><Relationship Id="rId92" Type="http://schemas.openxmlformats.org/officeDocument/2006/relationships/hyperlink" Target="https://www.vinted.com/items/8008443559-veste" TargetMode="External"/><Relationship Id="rId93" Type="http://schemas.openxmlformats.org/officeDocument/2006/relationships/hyperlink" Target="https://images1.vinted.net/t/01_00eab_UiTZHZKQCE7sxiijCap2Z1qf/f800/1769182569.webp?s=f5601f3b8520416ec6003ca760cb3ab68d917b2a" TargetMode="External"/><Relationship Id="rId94" Type="http://schemas.openxmlformats.org/officeDocument/2006/relationships/hyperlink" Target="https://www.vinted.com/items/8026101124-camisa-todd-snyder" TargetMode="External"/><Relationship Id="rId95" Type="http://schemas.openxmlformats.org/officeDocument/2006/relationships/hyperlink" Target="https://www.vinted.com/items/8032065535-pantalon-style-militaire" TargetMode="External"/><Relationship Id="rId96" Type="http://schemas.openxmlformats.org/officeDocument/2006/relationships/hyperlink" Target="https://zenmarket.jp/en/mercariproduct.aspx?itemCode=m89940622915&amp;_gl=1*agtc2p*_up*MQ..*_ga*NTU4NTAzNzk4LjE3NjUyNzEwNTY.*_ga_LGLDRPP0Y9*czE3Njk2OTc4NzQkbzk0JGcxJHQxNzY5NzAwNDI2JGo2MCRsMCRoMCRkT3VhcTF4WjZpaEpmV3BMUFZQMmpUVndUVHJ2UlhfR2tNUQ.." TargetMode="External"/><Relationship Id="rId97" Type="http://schemas.openxmlformats.org/officeDocument/2006/relationships/hyperlink" Target="https://zenmarket.jp/en/mercariproduct.aspx?itemCode=m41291626735&amp;_gl=1*jr5ro*_up*MQ..*_ga*NTU4NTAzNzk4LjE3NjUyNzEwNTY.*_ga_LGLDRPP0Y9*czE3Njk2OTc4NzQkbzk0JGcxJHQxNzY5NzAwNDI2JGo2MCRsMCRoMCRkT3VhcTF4WjZpaEpmV3BMUFZQMmpUVndUVHJ2UlhfR2tNUQ.." TargetMode="External"/><Relationship Id="rId98" Type="http://schemas.openxmlformats.org/officeDocument/2006/relationships/hyperlink" Target="https://zenmarket.jp/en/mercariproduct.aspx?itemCode=m99343262407&amp;_gl=1*jr5ro*_up*MQ..*_ga*NTU4NTAzNzk4LjE3NjUyNzEwNTY.*_ga_LGLDRPP0Y9*czE3Njk2OTc4NzQkbzk0JGcxJHQxNzY5NzAwNDI2JGo2MCRsMCRoMCRkT3VhcTF4WjZpaEpmV3BMUFZQMmpUVndUVHJ2UlhfR2tNUQ.." TargetMode="External"/><Relationship Id="rId99" Type="http://schemas.openxmlformats.org/officeDocument/2006/relationships/hyperlink" Target="https://zenmarket.jp/en/mercariproduct.aspx?itemCode=m34251044255&amp;_gl=1*jr5ro*_up*MQ..*_ga*NTU4NTAzNzk4LjE3NjUyNzEwNTY.*_ga_LGLDRPP0Y9*czE3Njk2OTc4NzQkbzk0JGcxJHQxNzY5NzAwNDI2JGo2MCRsMCRoMCRkT3VhcTF4WjZpaEpmV3BMUFZQMmpUVndUVHJ2UlhfR2tNUQ.." TargetMode="External"/><Relationship Id="rId100" Type="http://schemas.openxmlformats.org/officeDocument/2006/relationships/hyperlink" Target="https://zenmarket.jp/en/mercariproduct.aspx?itemCode=m11923373130&amp;_gl=1*agtc2p*_up*MQ..*_ga*NTU4NTAzNzk4LjE3NjUyNzEwNTY.*_ga_LGLDRPP0Y9*czE3Njk2OTc4NzQkbzk0JGcxJHQxNzY5NzAwNDI2JGo2MCRsMCRoMCRkT3VhcTF4WjZpaEpmV3BMUFZQMmpUVndUVHJ2UlhfR2tNUQ.." TargetMode="External"/><Relationship Id="rId101" Type="http://schemas.openxmlformats.org/officeDocument/2006/relationships/hyperlink" Target="https://zenmarket.jp/en/mercariproduct.aspx?itemCode=msxAzuEgB4q3a5EYjrrXni&amp;_gl=1*agtc2p*_up*MQ..*_ga*NTU4NTAzNzk4LjE3NjUyNzEwNTY.*_ga_LGLDRPP0Y9*czE3Njk2OTc4NzQkbzk0JGcxJHQxNzY5NzAwNDI2JGo2MCRsMCRoMCRkT3VhcTF4WjZpaEpmV3BMUFZQMmpUVndUVHJ2UlhfR2tNUQ.." TargetMode="External"/><Relationship Id="rId102" Type="http://schemas.openxmlformats.org/officeDocument/2006/relationships/hyperlink" Target="https://zenmarket.jp/mercariproduct.aspx?itemCode=m79412241952" TargetMode="External"/><Relationship Id="rId103" Type="http://schemas.openxmlformats.org/officeDocument/2006/relationships/hyperlink" Target="https://zenmarket.jp/en/mercariproduct.aspx?itemCode=m72000370332&amp;_gl=1*agtc2p*_up*MQ..*_ga*NTU4NTAzNzk4LjE3NjUyNzEwNTY.*_ga_LGLDRPP0Y9*czE3Njk2OTc4NzQkbzk0JGcxJHQxNzY5NzAwNDI2JGo2MCRsMCRoMCRkT3VhcTF4WjZpaEpmV3BMUFZQMmpUVndUVHJ2UlhfR2tNUQ.." TargetMode="External"/><Relationship Id="rId104" Type="http://schemas.openxmlformats.org/officeDocument/2006/relationships/hyperlink" Target="https://zenmarket.jp/en/mercariproduct.aspx?itemCode=m23539571459&amp;_gl=1*agtc2p*_up*MQ..*_ga*NTU4NTAzNzk4LjE3NjUyNzEwNTY.*_ga_LGLDRPP0Y9*czE3Njk2OTc4NzQkbzk0JGcxJHQxNzY5NzAwNDI2JGo2MCRsMCRoMCRkT3VhcTF4WjZpaEpmV3BMUFZQMmpUVndUVHJ2UlhfR2tNUQ.." TargetMode="External"/><Relationship Id="rId105" Type="http://schemas.openxmlformats.org/officeDocument/2006/relationships/hyperlink" Target="https://zenmarket.jp/en/mercariproduct.aspx?itemCode=m34867234242&amp;_gl=1*agtc2p*_up*MQ..*_ga*NTU4NTAzNzk4LjE3NjUyNzEwNTY.*_ga_LGLDRPP0Y9*czE3Njk2OTc4NzQkbzk0JGcxJHQxNzY5NzAwNDI2JGo2MCRsMCRoMCRkT3VhcTF4WjZpaEpmV3BMUFZQMmpUVndUVHJ2UlhfR2tNUQ.." TargetMode="External"/><Relationship Id="rId106" Type="http://schemas.openxmlformats.org/officeDocument/2006/relationships/hyperlink" Target="https://zenmarket.jp/en/mercariproduct.aspx?itemCode=m52497985137&amp;_gl=1*jr5ro*_up*MQ..*_ga*NTU4NTAzNzk4LjE3NjUyNzEwNTY.*_ga_LGLDRPP0Y9*czE3Njk2OTc4NzQkbzk0JGcxJHQxNzY5NzAwNDI2JGo2MCRsMCRoMCRkT3VhcTF4WjZpaEpmV3BMUFZQMmpUVndUVHJ2UlhfR2tNUQ.." TargetMode="External"/><Relationship Id="rId107" Type="http://schemas.openxmlformats.org/officeDocument/2006/relationships/hyperlink" Target="https://zenmarket.jp/en/mercariproduct.aspx?itemCode=m61164778141&amp;_gl=1*jr5ro*_up*MQ..*_ga*NTU4NTAzNzk4LjE3NjUyNzEwNTY.*_ga_LGLDRPP0Y9*czE3Njk2OTc4NzQkbzk0JGcxJHQxNzY5NzAwNDI2JGo2MCRsMCRoMCRkT3VhcTF4WjZpaEpmV3BMUFZQMmpUVndUVHJ2UlhfR2tNUQ.." TargetMode="External"/><Relationship Id="rId108" Type="http://schemas.openxmlformats.org/officeDocument/2006/relationships/hyperlink" Target="https://zenmarket.jp/mercariproduct.aspx?itemCode=m71342797779&amp;_gl=1*tr0q8g*_up*MQ..*_ga*NTU4NTAzNzk4LjE3NjUyNzEwNTY.*_ga_LGLDRPP0Y9*czE3Njk2OTc4NzQkbzk0JGcxJHQxNzY5NzAxNTEwJGo2MCRsMCRoMCRkT3VhcTF4WjZpaEpmV3BMUFZQMmpUVndUVHJ2UlhfR2tNUQ.." TargetMode="External"/><Relationship Id="rId109" Type="http://schemas.openxmlformats.org/officeDocument/2006/relationships/hyperlink" Target="https://zenmarket.jp/en/mercariproduct.aspx?itemCode=m51179110572&amp;_gl=1*jr5ro*_up*MQ..*_ga*NTU4NTAzNzk4LjE3NjUyNzEwNTY.*_ga_LGLDRPP0Y9*czE3Njk2OTc4NzQkbzk0JGcxJHQxNzY5NzAwNDI2JGo2MCRsMCRoMCRkT3VhcTF4WjZpaEpmV3BMUFZQMmpUVndUVHJ2UlhfR2tNUQ.." TargetMode="External"/><Relationship Id="rId110" Type="http://schemas.openxmlformats.org/officeDocument/2006/relationships/hyperlink" Target="https://zenmarket.jp/mercariproduct.aspx?itemCode=m16851001963&amp;_gl=1*tr0q8g*_up*MQ..*_ga*NTU4NTAzNzk4LjE3NjUyNzEwNTY.*_ga_LGLDRPP0Y9*czE3Njk2OTc4NzQkbzk0JGcxJHQxNzY5NzAxNTEwJGo2MCRsMCRoMCRkT3VhcTF4WjZpaEpmV3BMUFZQMmpUVndUVHJ2UlhfR2tNUQ.." TargetMode="External"/><Relationship Id="rId111" Type="http://schemas.openxmlformats.org/officeDocument/2006/relationships/hyperlink" Target="https://zenmarket.jp/mercariproduct.aspx?itemCode=m98575777001&amp;_gl=1*tr0q8g*_up*MQ..*_ga*NTU4NTAzNzk4LjE3NjUyNzEwNTY.*_ga_LGLDRPP0Y9*czE3Njk2OTc4NzQkbzk0JGcxJHQxNzY5NzAxNTEwJGo2MCRsMCRoMCRkT3VhcTF4WjZpaEpmV3BMUFZQMmpUVndUVHJ2UlhfR2tNUQ.." TargetMode="External"/><Relationship Id="rId112" Type="http://schemas.openxmlformats.org/officeDocument/2006/relationships/hyperlink" Target="https://zenmarket.jp/mercariproduct.aspx?itemCode=m90231217579&amp;_gl=1*tr0q8g*_up*MQ..*_ga*NTU4NTAzNzk4LjE3NjUyNzEwNTY.*_ga_LGLDRPP0Y9*czE3Njk2OTc4NzQkbzk0JGcxJHQxNzY5NzAxNTEwJGo2MCRsMCRoMCRkT3VhcTF4WjZpaEpmV3BMUFZQMmpUVndUVHJ2UlhfR2tNUQ.." TargetMode="External"/><Relationship Id="rId113" Type="http://schemas.openxmlformats.org/officeDocument/2006/relationships/hyperlink" Target="https://www.vinted.com/items/8055143069-jeans-homme-edwin" TargetMode="External"/><Relationship Id="rId114" Type="http://schemas.openxmlformats.org/officeDocument/2006/relationships/hyperlink" Target="https://zenmarket.jp/fr/mercariproduct.aspx?itemCode=m54697479920&amp;_gl=1*qor2fp*_up*MQ..*_ga*NTU4NTAzNzk4LjE3NjUyNzEwNTY.*_ga_LGLDRPP0Y9*czE3NzM1ODkwNzgkbzIwOSRnMCR0MTc3MzU4OTA3OCRqNjAkbDAkaDAkZGtTd2thbzYydkZCd3RmbzRoODRuSFB1ZVN6YlZob3RQU1E." TargetMode="External"/><Relationship Id="rId115" Type="http://schemas.openxmlformats.org/officeDocument/2006/relationships/hyperlink" Target="https://zenmarket.jp/fr/mercariproduct.aspx?itemCode=m15904653839&amp;_gl=1*1ljinj0*_up*MQ..*_ga*NTU4NTAzNzk4LjE3NjUyNzEwNTY.*_ga_LGLDRPP0Y9*czE3NzI1NDU3MzYkbzE3NCRnMSR0MTc3MjU0NjExMCRqNjAkbDAkaDAkZDhGRHRvOFdBQ2M2akI4dDZ1UENnT3F4N0M2X0RhaklWcGc." TargetMode="External"/><Relationship Id="rId116" Type="http://schemas.openxmlformats.org/officeDocument/2006/relationships/hyperlink" Target="https://zenmarket.jp/en/auction.aspx?itemCode=m1193080486&amp;_gl=1*j5zi7e*_up*MQ..*_ga*NTU4NTAzNzk4LjE3NjUyNzEwNTY.*_ga_LGLDRPP0Y9*czE3NzI1NDU3MzYkbzE3NCRnMSR0MTc3MjU0NjY5MiRqNjAkbDAkaDAkZDhGRHRvOFdBQ2M2akI4dDZ1UENnT3F4N0M2X0RhaklWcGc." TargetMode="External"/><Relationship Id="rId117" Type="http://schemas.openxmlformats.org/officeDocument/2006/relationships/hyperlink" Target="https://zenmarket.jp/fr/mercariproduct.aspx?itemCode=m75140213990&amp;_gl=1*1ljinj0*_up*MQ..*_ga*NTU4NTAzNzk4LjE3NjUyNzEwNTY.*_ga_LGLDRPP0Y9*czE3NzI1NDU3MzYkbzE3NCRnMSR0MTc3MjU0NjExMCRqNjAkbDAkaDAkZDhGRHRvOFdBQ2M2akI4dDZ1UENnT3F4N0M2X0RhaklWcGc." TargetMode="External"/><Relationship Id="rId118" Type="http://schemas.openxmlformats.org/officeDocument/2006/relationships/hyperlink" Target="https://zenmarket.jp/fr/mercariproduct.aspx?itemCode=m35222059827&amp;_gl=1*1ljinj0*_up*MQ..*_ga*NTU4NTAzNzk4LjE3NjUyNzEwNTY.*_ga_LGLDRPP0Y9*czE3NzI1NDU3MzYkbzE3NCRnMSR0MTc3MjU0NjExMCRqNjAkbDAkaDAkZDhGRHRvOFdBQ2M2akI4dDZ1UENnT3F4N0M2X0RhaklWcGc." TargetMode="External"/><Relationship Id="rId119" Type="http://schemas.openxmlformats.org/officeDocument/2006/relationships/hyperlink" Target="https://zenmarket.jp/fr/mercariproduct.aspx?itemCode=m35222059827&amp;_gl=1*1ljinj0*_up*MQ..*_ga*NTU4NTAzNzk4LjE3NjUyNzEwNTY.*_ga_LGLDRPP0Y9*czE3NzI1NDU3MzYkbzE3NCRnMSR0MTc3MjU0NjExMCRqNjAkbDAkaDAkZDhGRHRvOFdBQ2M2akI4dDZ1UENnT3F4N0M2X0RhaklWcGc." TargetMode="External"/><Relationship Id="rId120" Type="http://schemas.openxmlformats.org/officeDocument/2006/relationships/hyperlink" Target="https://zenmarket.jp/fr/mercariproduct.aspx?itemCode=m35222059827&amp;_gl=1*1ljinj0*_up*MQ..*_ga*NTU4NTAzNzk4LjE3NjUyNzEwNTY.*_ga_LGLDRPP0Y9*czE3NzI1NDU3MzYkbzE3NCRnMSR0MTc3MjU0NjExMCRqNjAkbDAkaDAkZDhGRHRvOFdBQ2M2akI4dDZ1UENnT3F4N0M2X0RhaklWcGc." TargetMode="External"/><Relationship Id="rId121" Type="http://schemas.openxmlformats.org/officeDocument/2006/relationships/hyperlink" Target="https://zenmarket.jp/fr/mercariproduct.aspx?itemCode=m49079282525&amp;_gl=1*1ljinj0*_up*MQ..*_ga*NTU4NTAzNzk4LjE3NjUyNzEwNTY.*_ga_LGLDRPP0Y9*czE3NzI1NDU3MzYkbzE3NCRnMSR0MTc3MjU0NjExMCRqNjAkbDAkaDAkZDhGRHRvOFdBQ2M2akI4dDZ1UENnT3F4N0M2X0RhaklWcGc." TargetMode="External"/><Relationship Id="rId122" Type="http://schemas.openxmlformats.org/officeDocument/2006/relationships/hyperlink" Target="https://www.vinted.com/items/8302493686-momotaro-jeans" TargetMode="External"/><Relationship Id="rId123" Type="http://schemas.openxmlformats.org/officeDocument/2006/relationships/hyperlink" Target="https://www.vinted.com/items/8302514907-iron-heart-jeans" TargetMode="External"/><Relationship Id="rId124" Type="http://schemas.openxmlformats.org/officeDocument/2006/relationships/hyperlink" Target="https://www.vinted.com/items/8302526898-iron-heart-jeans" TargetMode="External"/><Relationship Id="rId125" Type="http://schemas.openxmlformats.org/officeDocument/2006/relationships/hyperlink" Target="https://www.vinted.com/inbox/21071298129" TargetMode="External"/><Relationship Id="rId126" Type="http://schemas.openxmlformats.org/officeDocument/2006/relationships/hyperlink" Target="https://www.vinted.com/items/8227824567-chemise-kith" TargetMode="External"/><Relationship Id="rId127" Type="http://schemas.openxmlformats.org/officeDocument/2006/relationships/hyperlink" Target="https://www.vinted.fr/items/8327572436-veste-jean" TargetMode="External"/><Relationship Id="rId128" Type="http://schemas.openxmlformats.org/officeDocument/2006/relationships/hyperlink" Target="https://www.vinted.com/items/8327683805-navy-corduroy-overshirt-universal-works" TargetMode="External"/><Relationship Id="rId129" Type="http://schemas.openxmlformats.org/officeDocument/2006/relationships/hyperlink" Target="https://www.vinted.com/items/8336944261-jean-edwin" TargetMode="External"/><Relationship Id="rId130" Type="http://schemas.openxmlformats.org/officeDocument/2006/relationships/hyperlink" Target="https://www.vinted.fr/inbox/21225457580" TargetMode="External"/><Relationship Id="rId131" Type="http://schemas.openxmlformats.org/officeDocument/2006/relationships/hyperlink" Target="https://www.vinted.fr/items/8375518944-flower-mountain" TargetMode="External"/><Relationship Id="rId132" Type="http://schemas.openxmlformats.org/officeDocument/2006/relationships/hyperlink" Target="https://www.vinted.com/items/8432552264-beams-jean-hommes-velours-japonais-camel" TargetMode="External"/><Relationship Id="rId133" Type="http://schemas.openxmlformats.org/officeDocument/2006/relationships/hyperlink" Target="https://www.vinted.com/items/8432484045-beams-jean-hommes-velours-japonais-kaki" TargetMode="External"/><Relationship Id="rId134" Type="http://schemas.openxmlformats.org/officeDocument/2006/relationships/hyperlink" Target="https://www.vinted.fr/items/8450050026-pantaloni-chino-beams-taglia-m" TargetMode="External"/><Relationship Id="rId135" Type="http://schemas.openxmlformats.org/officeDocument/2006/relationships/hyperlink" Target="https://zenmarket.jp/mercariproduct.aspx?itemCode=m45069837864&amp;_gl=1*1e6ztx4*_up*MQ..*_ga*NTU4NTAzNzk4LjE3NjUyNzEwNTY.*_ga_LGLDRPP0Y9*czE3NzQyNzExMzMkbzIyNyRnMSR0MTc3NDI3MTM4MSRqNTAkbDAkaDAkZGtTd2thbzYydkZCd3RmbzRoODRuSFB1ZVN6YlZob3RQU1E." TargetMode="External"/><Relationship Id="rId136" Type="http://schemas.openxmlformats.org/officeDocument/2006/relationships/hyperlink" Target="https://zenmarket.jp/mercariproduct.aspx?itemCode=m73142873835&amp;_gl=1*1my84va*_up*MQ..*_ga*NTU4NTAzNzk4LjE3NjUyNzEwNTY.*_ga_LGLDRPP0Y9*czE3NzQyNzExMzMkbzIyNyRnMSR0MTc3NDI3MTM4MSRqNTAkbDAkaDAkZGtTd2thbzYydkZCd3RmbzRoODRuSFB1ZVN6YlZob3RQU1E." TargetMode="External"/><Relationship Id="rId137" Type="http://schemas.openxmlformats.org/officeDocument/2006/relationships/hyperlink" Target="https://zenmarket.jp/mercariproduct.aspx?itemCode=m44278530245" TargetMode="External"/><Relationship Id="rId138" Type="http://schemas.openxmlformats.org/officeDocument/2006/relationships/hyperlink" Target="https://zenmarket.jp/mercariproduct.aspx?itemCode=m63547043019" TargetMode="External"/><Relationship Id="rId139" Type="http://schemas.openxmlformats.org/officeDocument/2006/relationships/hyperlink" Target="https://zenmarket.jp/mercariproduct.aspx?itemCode=m50272705217" TargetMode="External"/><Relationship Id="rId140" Type="http://schemas.openxmlformats.org/officeDocument/2006/relationships/hyperlink" Target="https://zenmarket.jp/mercariproduct.aspx?itemCode=m46766164534" TargetMode="External"/><Relationship Id="rId141" Type="http://schemas.openxmlformats.org/officeDocument/2006/relationships/hyperlink" Target="https://zenmarket.jp/fr/mercariproduct.aspx?itemCode=m84464840332&amp;_gl=1*vgqeht*_up*MQ..*_ga*NTU4NTAzNzk4LjE3NjUyNzEwNTY.*_ga_LGLDRPP0Y9*czE3NzQ5NDA2ODgkbzI1MCRnMSR0MTc3NDk0MjIxNiRqNjAkbDAkaDAkZGtTd2thbzYydkZCd3RmbzRoODRuSFB1ZVN6YlZob3RQU1E." TargetMode="External"/><Relationship Id="rId142" Type="http://schemas.openxmlformats.org/officeDocument/2006/relationships/hyperlink" Target="https://www.vinted.com/inbox/21583299589" TargetMode="External"/><Relationship Id="rId143" Type="http://schemas.openxmlformats.org/officeDocument/2006/relationships/hyperlink" Target="https://zenmarket.jp/mercariproduct.aspx?itemCode=m45794612262" TargetMode="External"/><Relationship Id="rId144" Type="http://schemas.openxmlformats.org/officeDocument/2006/relationships/hyperlink" Target="https://zenmarket.jp/mercariproduct.aspx?itemCode=m35253523645" TargetMode="External"/><Relationship Id="rId145" Type="http://schemas.openxmlformats.org/officeDocument/2006/relationships/hyperlink" Target="https://zenmarket.jp/mercariproduct.aspx?itemCode=m25306444821" TargetMode="External"/><Relationship Id="rId146" Type="http://schemas.openxmlformats.org/officeDocument/2006/relationships/hyperlink" Target="https://zenmarket.jp/mercariproduct.aspx?itemCode=m49492581753" TargetMode="External"/><Relationship Id="rId147" Type="http://schemas.openxmlformats.org/officeDocument/2006/relationships/hyperlink" Target="https://zenmarket.jp/mercariproduct.aspx?itemCode=m53159643106" TargetMode="External"/><Relationship Id="rId148" Type="http://schemas.openxmlformats.org/officeDocument/2006/relationships/hyperlink" Target="https://zenmarket.jp/mercariproduct.aspx?itemCode=m64114302725" TargetMode="External"/><Relationship Id="rId149" Type="http://schemas.openxmlformats.org/officeDocument/2006/relationships/hyperlink" Target="https://zenmarket.jp/mercariproduct.aspx?itemCode=m21244147036" TargetMode="External"/><Relationship Id="rId150" Type="http://schemas.openxmlformats.org/officeDocument/2006/relationships/hyperlink" Target="https://zenmarket.jp/mercariproduct.aspx?itemCode=m23744106554" TargetMode="External"/><Relationship Id="rId151" Type="http://schemas.openxmlformats.org/officeDocument/2006/relationships/hyperlink" Target="https://zenmarket.jp/mercariproduct.aspx?itemCode=m37315142116" TargetMode="External"/><Relationship Id="rId152" Type="http://schemas.openxmlformats.org/officeDocument/2006/relationships/hyperlink" Target="https://zenmarket.jp/mercariproduct.aspx?itemCode=m13106852730" TargetMode="External"/><Relationship Id="rId153" Type="http://schemas.openxmlformats.org/officeDocument/2006/relationships/hyperlink" Target="https://zenmarket.jp/mercariproduct.aspx?itemCode=m26685644713" TargetMode="External"/><Relationship Id="rId154" Type="http://schemas.openxmlformats.org/officeDocument/2006/relationships/hyperlink" Target="https://www.vinted.com/items/8564567555-chemise-rouge" TargetMode="External"/><Relationship Id="rId155" Type="http://schemas.openxmlformats.org/officeDocument/2006/relationships/hyperlink" Target="https://zenmarket.jp/mercariproduct.aspx?itemCode=m77521977622" TargetMode="External"/><Relationship Id="rId156" Type="http://schemas.openxmlformats.org/officeDocument/2006/relationships/hyperlink" Target="https://zenmarket.jp/mercariproduct.aspx?itemCode=m22606187565" TargetMode="External"/><Relationship Id="rId157" Type="http://schemas.openxmlformats.org/officeDocument/2006/relationships/hyperlink" Target="https://zenmarket.jp/mercariproduct.aspx?itemCode=m68984756649" TargetMode="External"/><Relationship Id="rId158" Type="http://schemas.openxmlformats.org/officeDocument/2006/relationships/hyperlink" Target="https://zenmarket.jp/mercariproduct.aspx?itemCode=m51769299140" TargetMode="External"/><Relationship Id="rId159" Type="http://schemas.openxmlformats.org/officeDocument/2006/relationships/hyperlink" Target="https://zenmarket.jp/mercariproduct.aspx?itemCode=m63286263339" TargetMode="External"/><Relationship Id="rId160" Type="http://schemas.openxmlformats.org/officeDocument/2006/relationships/hyperlink" Target="https://zenmarket.jp/mercariproduct.aspx?itemCode=m90614537369" TargetMode="External"/><Relationship Id="rId161" Type="http://schemas.openxmlformats.org/officeDocument/2006/relationships/hyperlink" Target="https://zenmarket.jp/mercariproduct.aspx?itemCode=m51118882260" TargetMode="External"/><Relationship Id="rId162" Type="http://schemas.openxmlformats.org/officeDocument/2006/relationships/hyperlink" Target="https://zenmarket.jp/mercariproduct.aspx?itemCode=m76795785146&amp;_gl=1*92vne3*_up*MQ..*_ga*NTU4NTAzNzk4LjE3NjUyNzEwNTY.*_ga_LGLDRPP0Y9*czE3NzU3MjA1ODUkbzI3MyRnMSR0MTc3NTcyMjkyNyRqNDIkbDAkaDAkZGtTd2thbzYydkZCd3RmbzRoODRuSFB1ZVN6YlZob3RQU1E." TargetMode="External"/><Relationship Id="rId163" Type="http://schemas.openxmlformats.org/officeDocument/2006/relationships/hyperlink" Target="https://zenmarket.jp/auction.aspx?itemCode=g1219945474" TargetMode="External"/><Relationship Id="rId164" Type="http://schemas.openxmlformats.org/officeDocument/2006/relationships/hyperlink" Target="https://zenmarket.jp/mercariproduct.aspx?itemCode=m93307902344" TargetMode="External"/><Relationship Id="rId165" Type="http://schemas.openxmlformats.org/officeDocument/2006/relationships/hyperlink" Target="https://zenmarket.jp/mercariproduct.aspx?itemCode=m99669863322" TargetMode="External"/><Relationship Id="rId166" Type="http://schemas.openxmlformats.org/officeDocument/2006/relationships/hyperlink" Target="https://zenmarket.jp/auction.aspx?itemCode=1225254787" TargetMode="External"/><Relationship Id="rId167" Type="http://schemas.openxmlformats.org/officeDocument/2006/relationships/hyperlink" Target="https://www.vinted.com/items/8696542053-orslow-107-4-size" TargetMode="External"/><Relationship Id="rId168" Type="http://schemas.openxmlformats.org/officeDocument/2006/relationships/hyperlink" Target="https://www.vinted.com/items/8696561337-orslow-107-4size" TargetMode="External"/><Relationship Id="rId169" Type="http://schemas.openxmlformats.org/officeDocument/2006/relationships/hyperlink" Target="https://zenmarket.jp/mercariproduct.aspx?itemCode=m83277801022" TargetMode="External"/><Relationship Id="rId170" Type="http://schemas.openxmlformats.org/officeDocument/2006/relationships/hyperlink" Target="https://zenmarket.jp/mercariproduct.aspx?itemCode=m98126391748&amp;_gl=1*upbwmx*_up*MQ..*_ga*NTU4NTAzNzk4LjE3NjUyNzEwNTY.*_ga_LGLDRPP0Y9*czE3NzYxNjk5NjIkbzI4NiRnMSR0MTc3NjE3MDcxMiRqMjMkbDAkaDAkZGtTd2thbzYydkZCd3RmbzRoODRuSFB1ZVN6YlZob3RQU1E." TargetMode="External"/><Relationship Id="rId171" Type="http://schemas.openxmlformats.org/officeDocument/2006/relationships/hyperlink" Target="https://zenmarket.jp/mercariproduct.aspx?itemCode=m84570392911" TargetMode="External"/><Relationship Id="rId172" Type="http://schemas.openxmlformats.org/officeDocument/2006/relationships/hyperlink" Target="https://zenmarket.jp/auction.aspx?itemCode=q1223542937" TargetMode="External"/><Relationship Id="rId173" Type="http://schemas.openxmlformats.org/officeDocument/2006/relationships/hyperlink" Target="https://zenmarket.jp/auction.aspx?itemCode=1223123420" TargetMode="External"/><Relationship Id="rId174" Type="http://schemas.openxmlformats.org/officeDocument/2006/relationships/hyperlink" Target="https://zenmarket.jp/mercariproduct.aspx?itemCode=m35226194354" TargetMode="External"/><Relationship Id="rId175" Type="http://schemas.openxmlformats.org/officeDocument/2006/relationships/hyperlink" Target="https://zenmarket.jp/mercariproduct.aspx?itemCode=m51134412322" TargetMode="External"/><Relationship Id="rId176" Type="http://schemas.openxmlformats.org/officeDocument/2006/relationships/hyperlink" Target="https://zenmarket.jp/fr/mercariproduct.aspx?itemCode=m25887780366&amp;_gl=1*1n30ord*_up*MQ..*_ga*NTU4NTAzNzk4LjE3NjUyNzEwNTY.*_ga_LGLDRPP0Y9*czE3NzY2NzI2NTUkbzI5NyRnMSR0MTc3NjY3MzMzNyRqNjAkbDAkaDAkZGtTd2thbzYydkZCd3RmbzRoODRuSFB1ZVN6YlZob3RQU1E." TargetMode="External"/><Relationship Id="rId177" Type="http://schemas.openxmlformats.org/officeDocument/2006/relationships/hyperlink" Target="https://zenmarket.jp/fr/mercariproduct.aspx?itemCode=m35024500301&amp;_gl=1*1n30ord*_up*MQ..*_ga*NTU4NTAzNzk4LjE3NjUyNzEwNTY.*_ga_LGLDRPP0Y9*czE3NzY2NzI2NTUkbzI5NyRnMSR0MTc3NjY3MzMzNyRqNjAkbDAkaDAkZGtTd2thbzYydkZCd3RmbzRoODRuSFB1ZVN6YlZob3RQU1E." TargetMode="External"/><Relationship Id="rId178" Type="http://schemas.openxmlformats.org/officeDocument/2006/relationships/hyperlink" Target="https://zenmarket.jp/fr/mercariproduct.aspx?itemCode=m43712031982&amp;_gl=1*1n30ord*_up*MQ..*_ga*NTU4NTAzNzk4LjE3NjUyNzEwNTY.*_ga_LGLDRPP0Y9*czE3NzY2NzI2NTUkbzI5NyRnMSR0MTc3NjY3MzMzNyRqNjAkbDAkaDAkZGtTd2thbzYydkZCd3RmbzRoODRuSFB1ZVN6YlZob3RQU1E." TargetMode="External"/><Relationship Id="rId179" Type="http://schemas.openxmlformats.org/officeDocument/2006/relationships/hyperlink" Target="https://zenmarket.jp/fr/mercariproduct.aspx?itemCode=m86333267676&amp;_gl=1*1n30ord*_up*MQ..*_ga*NTU4NTAzNzk4LjE3NjUyNzEwNTY.*_ga_LGLDRPP0Y9*czE3NzY2NzI2NTUkbzI5NyRnMSR0MTc3NjY3MzMzNyRqNjAkbDAkaDAkZGtTd2thbzYydkZCd3RmbzRoODRuSFB1ZVN6YlZob3RQU1E." TargetMode="External"/><Relationship Id="rId180" Type="http://schemas.openxmlformats.org/officeDocument/2006/relationships/hyperlink" Target="https://zenmarket.jp/fr/mercariproduct.aspx?itemCode=m91330901198&amp;_gl=1*1n30ord*_up*MQ..*_ga*NTU4NTAzNzk4LjE3NjUyNzEwNTY.*_ga_LGLDRPP0Y9*czE3NzY2NzI2NTUkbzI5NyRnMSR0MTc3NjY3MzMzNyRqNjAkbDAkaDAkZGtTd2thbzYydkZCd3RmbzRoODRuSFB1ZVN6YlZob3RQU1E." TargetMode="External"/><Relationship Id="rId181" Type="http://schemas.openxmlformats.org/officeDocument/2006/relationships/hyperlink" Target="https://zenmarket.jp/fr/mercariproduct.aspx?itemCode=m22344088476&amp;_gl=1*1n30ord*_up*MQ..*_ga*NTU4NTAzNzk4LjE3NjUyNzEwNTY.*_ga_LGLDRPP0Y9*czE3NzY2NzI2NTUkbzI5NyRnMSR0MTc3NjY3MzMzNyRqNjAkbDAkaDAkZGtTd2thbzYydkZCd3RmbzRoODRuSFB1ZVN6YlZob3RQU1E." TargetMode="External"/><Relationship Id="rId182" Type="http://schemas.openxmlformats.org/officeDocument/2006/relationships/hyperlink" Target="https://zenmarket.jp/fr/mercariproduct.aspx?itemCode=m63946263014&amp;_gl=1*17cvhp3*_up*MQ..*_ga*NTU4NTAzNzk4LjE3NjUyNzEwNTY.*_ga_LGLDRPP0Y9*czE3NzY2NzI2NTUkbzI5NyRnMSR0MTc3NjY3NDA4NSRqNjAkbDAkaDAkZGtTd2thbzYydkZCd3RmbzRoODRuSFB1ZVN6YlZob3RQU1E." TargetMode="External"/><Relationship Id="rId183" Type="http://schemas.openxmlformats.org/officeDocument/2006/relationships/hyperlink" Target="https://zenmarket.jp/en/mercariproduct.aspx?itemCode=m28375335883&amp;_gl=1*3qdtl5*_up*MQ..*_ga*NTU4NTAzNzk4LjE3NjUyNzEwNTY.*_ga_LGLDRPP0Y9*czE3NzY2NzI2NTUkbzI5NyRnMSR0MTc3NjY3NDEwNiRqMzkkbDAkaDAkZGtTd2thbzYydkZCd3RmbzRoODRuSFB1ZVN6YlZob3RQU1E." TargetMode="External"/><Relationship Id="rId184" Type="http://schemas.openxmlformats.org/officeDocument/2006/relationships/hyperlink" Target="https://zenmarket.jp/fr/mercariproduct.aspx?itemCode=m94060156901&amp;_gl=1*s1optt*_up*MQ..*_ga*NTU4NTAzNzk4LjE3NjUyNzEwNTY.*_ga_LGLDRPP0Y9*czE3NzY2NzI2NTUkbzI5NyRnMSR0MTc3NjY3NDA4NSRqNjAkbDAkaDAkZGtTd2thbzYydkZCd3RmbzRoODRuSFB1ZVN6YlZob3RQU1E." TargetMode="External"/><Relationship Id="rId185" Type="http://schemas.openxmlformats.org/officeDocument/2006/relationships/hyperlink" Target="https://zenmarket.jp/en/mercariproduct.aspx?itemCode=m77385047856&amp;_gl=1*1yofwpz*_up*MQ..*_ga*NTU4NTAzNzk4LjE3NjUyNzEwNTY.*_ga_LGLDRPP0Y9*czE3NzY2NzI2NTUkbzI5NyRnMSR0MTc3NjY3NDEwOSRqMzYkbDAkaDAkZGtTd2thbzYydkZCd3RmbzRoODRuSFB1ZVN6YlZob3RQU1E." TargetMode="External"/><Relationship Id="rId186" Type="http://schemas.openxmlformats.org/officeDocument/2006/relationships/hyperlink" Target="https://zenmarket.jp/en/mercariproduct.aspx?itemCode=m67890397024&amp;_gl=1*wzkmob*_up*MQ..*_ga*NTU4NTAzNzk4LjE3NjUyNzEwNTY.*_ga_LGLDRPP0Y9*czE3NzY2NzI2NTUkbzI5NyRnMSR0MTc3NjY3NDEwNSRqNDAkbDAkaDAkZGtTd2thbzYydkZCd3RmbzRoODRuSFB1ZVN6YlZob3RQU1E." TargetMode="External"/><Relationship Id="rId187" Type="http://schemas.openxmlformats.org/officeDocument/2006/relationships/hyperlink" Target="https://zenmarket.jp/en/mercariproduct.aspx?itemCode=m33242102430&amp;_gl=1*kffjs*_up*MQ..*_ga*NTU4NTAzNzk4LjE3NjUyNzEwNTY.*_ga_LGLDRPP0Y9*czE3NzY2NzI2NTUkbzI5NyRnMSR0MTc3NjY3NDEwNyRqMzgkbDAkaDAkZGtTd2thbzYydkZCd3RmbzRoODRuSFB1ZVN6YlZob3RQU1E." TargetMode="External"/><Relationship Id="rId188" Type="http://schemas.openxmlformats.org/officeDocument/2006/relationships/hyperlink" Target="https://zenmarket.jp/fr/auction.aspx?itemCode=k1224764619&amp;_gl=1*17cvhp3*_up*MQ..*_ga*NTU4NTAzNzk4LjE3NjUyNzEwNTY.*_ga_LGLDRPP0Y9*czE3NzY2NzI2NTUkbzI5NyRnMSR0MTc3NjY3NDA4NSRqNjAkbDAkaDAkZGtTd2thbzYydkZCd3RmbzRoODRuSFB1ZVN6YlZob3RQU1E." TargetMode="External"/><Relationship Id="rId189" Type="http://schemas.openxmlformats.org/officeDocument/2006/relationships/hyperlink" Target="https://zenmarket.jp/en/auction.aspx?itemCode=q1225367903&amp;_gl=1*1h3686l*_up*MQ..*_ga*NTU4NTAzNzk4LjE3NjUyNzEwNTY.*_ga_LGLDRPP0Y9*czE3NzY2NzI2NTUkbzI5NyRnMSR0MTc3NjY3NDEwMSRqNDQkbDAkaDAkZGtTd2thbzYydkZCd3RmbzRoODRuSFB1ZVN6YlZob3RQU1E." TargetMode="External"/><Relationship Id="rId190" Type="http://schemas.openxmlformats.org/officeDocument/2006/relationships/hyperlink" Target="https://www.vinted.com/items/8772518836-jean-edwin-31x32" TargetMode="External"/><Relationship Id="rId191" Type="http://schemas.openxmlformats.org/officeDocument/2006/relationships/hyperlink" Target="https://zenmarket.jp/mercariproduct.aspx?itemCode=m97053861363" TargetMode="External"/><Relationship Id="rId192" Type="http://schemas.openxmlformats.org/officeDocument/2006/relationships/hyperlink" Target="../../../../../3BF5F73FCD55C3F4/SYNCHRONISATION%20%20%5bOneDrive%20%5eM%20Local%20%5eM%20Hard%20Drive%5d/ADRIEN/Auto%20Entrepreneur%202025/Revendeur/orSlow%20Lot.107%20Selvedge%20Denim%203%20(L)" TargetMode="External"/><Relationship Id="rId193" Type="http://schemas.openxmlformats.org/officeDocument/2006/relationships/hyperlink" Target="https://zenmarket.jp/mercariproduct.aspx?itemCode=m63571183294" TargetMode="External"/><Relationship Id="rId194" Type="http://schemas.openxmlformats.org/officeDocument/2006/relationships/hyperlink" Target="https://zenmarket.jp/mercariproduct.aspx?itemCode=m17829576988" TargetMode="External"/><Relationship Id="rId195" Type="http://schemas.openxmlformats.org/officeDocument/2006/relationships/hyperlink" Target="https://zenmarket.jp/mercariproduct.aspx?itemCode=m71581700196" TargetMode="External"/><Relationship Id="rId196" Type="http://schemas.openxmlformats.org/officeDocument/2006/relationships/hyperlink" Target="https://zenmarket.jp/mercariproduct.aspx?itemCode=m35814392176" TargetMode="External"/><Relationship Id="rId197" Type="http://schemas.openxmlformats.org/officeDocument/2006/relationships/hyperlink" Target="https://www.vinted.com/items/8791066773-pantalon-vaquero-edwin-slim-34x34" TargetMode="External"/><Relationship Id="rId198" Type="http://schemas.openxmlformats.org/officeDocument/2006/relationships/hyperlink" Target="https://www.vinted.com/items/8791495412-scarpe-uomo" TargetMode="External"/><Relationship Id="rId199" Type="http://schemas.openxmlformats.org/officeDocument/2006/relationships/hyperlink" Target="https://www.vinted.com/items/8804338227-pantalon-christophe-lemaire-44" TargetMode="External"/><Relationship Id="rId200" Type="http://schemas.openxmlformats.org/officeDocument/2006/relationships/hyperlink" Target="https://www.vinted.com/items/8811645899-jean-brut-edwin" TargetMode="External"/><Relationship Id="rId201" Type="http://schemas.openxmlformats.org/officeDocument/2006/relationships/hyperlink" Target="https://www.vinted.com/items/8811645899-jean-brut-edwin" TargetMode="External"/><Relationship Id="rId202" Type="http://schemas.openxmlformats.org/officeDocument/2006/relationships/hyperlink" Target="https://www.vinted.com/items/8828519692-edwin-jean-droit-homme" TargetMode="External"/><Relationship Id="rId203" Type="http://schemas.openxmlformats.org/officeDocument/2006/relationships/hyperlink" Target="../../../../../3BF5F73FCD55C3F4/SYNCHRONISATION%20%20%5bOneDrive%20%5eM%20Local%20%5eM%20Hard%20Drive%5d/ADRIEN/Auto%20Entrepreneur%202026/Revendeur/vinted.com/items/8536234284" TargetMode="External"/><Relationship Id="rId204" Type="http://schemas.openxmlformats.org/officeDocument/2006/relationships/hyperlink" Target="https://www.vinted.com/items/8536720255-sugarcane-japan-flannel-shirt-size-l-sc28509" TargetMode="External"/><Relationship Id="rId205" Type="http://schemas.openxmlformats.org/officeDocument/2006/relationships/hyperlink" Target="https://www.vinted.fr/items/8838608146-ralph-lauren-rrl" TargetMode="External"/><Relationship Id="rId206" Type="http://schemas.openxmlformats.org/officeDocument/2006/relationships/hyperlink" Target="https://www.vinted.com/items/8855763042-pantalon" TargetMode="External"/><Relationship Id="rId207" Type="http://schemas.openxmlformats.org/officeDocument/2006/relationships/hyperlink" Target="https://zenmarket.jp/fr/mercariproduct.aspx?itemCode=m34796995392" TargetMode="External"/><Relationship Id="rId208" Type="http://schemas.openxmlformats.org/officeDocument/2006/relationships/hyperlink" Target="https://zenmarket.jp/fr/mercariproduct.aspx?itemCode=m26312550104" TargetMode="External"/><Relationship Id="rId209" Type="http://schemas.openxmlformats.org/officeDocument/2006/relationships/hyperlink" Target="https://zenmarket.jp/fr/mercariproduct.aspx?itemCode=m65702250287" TargetMode="External"/><Relationship Id="rId210" Type="http://schemas.openxmlformats.org/officeDocument/2006/relationships/hyperlink" Target="https://zenmarket.jp/fr/mercariproduct.aspx?itemCode=m91584499143" TargetMode="External"/><Relationship Id="rId211" Type="http://schemas.openxmlformats.org/officeDocument/2006/relationships/hyperlink" Target="https://zenmarket.jp/fr/mercariproduct.aspx?itemCode=m44518524131" TargetMode="External"/><Relationship Id="rId212" Type="http://schemas.openxmlformats.org/officeDocument/2006/relationships/hyperlink" Target="https://zenmarket.jp/fr/mercariproduct.aspx?itemCode=m94391628254" TargetMode="External"/><Relationship Id="rId213" Type="http://schemas.openxmlformats.org/officeDocument/2006/relationships/hyperlink" Target="https://zenmarket.jp/fr/auction.aspx?itemCode=h1228087803" TargetMode="External"/><Relationship Id="rId214" Type="http://schemas.openxmlformats.org/officeDocument/2006/relationships/hyperlink" Target="https://zenmarket.jp/fr/mercariproduct.aspx?itemCode=m94244839336" TargetMode="External"/><Relationship Id="rId215" Type="http://schemas.openxmlformats.org/officeDocument/2006/relationships/hyperlink" Target="https://zenmarket.jp/fr/mercariproduct.aspx?itemCode=m27427824841" TargetMode="External"/><Relationship Id="rId216" Type="http://schemas.openxmlformats.org/officeDocument/2006/relationships/hyperlink" Target="https://www.vinted.com/items/8888442999-jean-edwin-bleu-slim-skinny-red-listed-selvage-tres-bon-etat" TargetMode="External"/><Relationship Id="rId217" Type="http://schemas.openxmlformats.org/officeDocument/2006/relationships/hyperlink" Target="https://www.vinted.com/items/8900485966-edwin-jeans-32x32" TargetMode="External"/><Relationship Id="rId218" Type="http://schemas.openxmlformats.org/officeDocument/2006/relationships/hyperlink" Target="https://zenmarket.jp/en/mercariproduct.aspx?itemCode=m65562683620" TargetMode="External"/><Relationship Id="rId219" Type="http://schemas.openxmlformats.org/officeDocument/2006/relationships/hyperlink" Target="https://zenmarket.jp/en/mercariproduct.aspx?itemCode=m27610949805" TargetMode="External"/><Relationship Id="rId220" Type="http://schemas.openxmlformats.org/officeDocument/2006/relationships/hyperlink" Target="https://zenmarket.jp/en/mercariproduct.aspx?itemCode=m79004983574" TargetMode="External"/><Relationship Id="rId221" Type="http://schemas.openxmlformats.org/officeDocument/2006/relationships/hyperlink" Target="https://zenmarket.jp/en/mercariproduct.aspx?itemCode=m70468397063" TargetMode="External"/><Relationship Id="rId222" Type="http://schemas.openxmlformats.org/officeDocument/2006/relationships/hyperlink" Target="https://zenmarket.jp/en/mercariproduct.aspx?itemCode=m17647249371" TargetMode="External"/><Relationship Id="rId223" Type="http://schemas.openxmlformats.org/officeDocument/2006/relationships/hyperlink" Target="https://zenmarket.jp/en/auction.aspx?itemCode=j1229198882" TargetMode="External"/><Relationship Id="rId224" Type="http://schemas.openxmlformats.org/officeDocument/2006/relationships/hyperlink" Target="https://zenmarket.jp/en/auction.aspx?itemCode=p1229218766" TargetMode="External"/><Relationship Id="rId225" Type="http://schemas.openxmlformats.org/officeDocument/2006/relationships/hyperlink" Target="https://zenmarket.jp/mercariproduct.aspx?itemCode=m58148277416" TargetMode="External"/><Relationship Id="rId226" Type="http://schemas.openxmlformats.org/officeDocument/2006/relationships/hyperlink" Target="https://zenmarket.jp/mercariproduct.aspx?itemCode=m16989646817" TargetMode="External"/><Relationship Id="rId227" Type="http://schemas.openxmlformats.org/officeDocument/2006/relationships/hyperlink" Target="https://zenmarket.jp/mercariproduct.aspx?itemCode=m21893044358" TargetMode="External"/><Relationship Id="rId228" Type="http://schemas.openxmlformats.org/officeDocument/2006/relationships/hyperlink" Target="https://zenmarket.jp/mercariproduct.aspx?itemCode=m27013821016" TargetMode="External"/><Relationship Id="rId229" Type="http://schemas.openxmlformats.org/officeDocument/2006/relationships/hyperlink" Target="https://zenmarket.jp/mercariproduct.aspx?itemCode=m15080141211" TargetMode="External"/><Relationship Id="rId230" Type="http://schemas.openxmlformats.org/officeDocument/2006/relationships/hyperlink" Target="https://zenmarket.jp/mercariproduct.aspx?itemCode=m63724852649" TargetMode="External"/><Relationship Id="rId231" Type="http://schemas.openxmlformats.org/officeDocument/2006/relationships/hyperlink" Target="https://zenmarket.jp/mercariproduct.aspx?itemCode=m84254707380" TargetMode="External"/><Relationship Id="rId232" Type="http://schemas.openxmlformats.org/officeDocument/2006/relationships/hyperlink" Target="https://zenmarket.jp/auction.aspx?itemCode=w1229402519" TargetMode="External"/><Relationship Id="rId233" Type="http://schemas.openxmlformats.org/officeDocument/2006/relationships/hyperlink" Target="https://zenmarket.jp/fr/mercariproduct.aspx?itemCode=m26554508703" TargetMode="External"/><Relationship Id="rId234" Type="http://schemas.openxmlformats.org/officeDocument/2006/relationships/hyperlink" Target="https://zenmarket.jp/fr/mercariproduct.aspx?itemCode=m66096386054" TargetMode="External"/><Relationship Id="rId235" Type="http://schemas.openxmlformats.org/officeDocument/2006/relationships/hyperlink" Target="https://zenmarket.jp/fr/mercariproduct.aspx?itemCode=m97389355125" TargetMode="External"/><Relationship Id="rId236" Type="http://schemas.openxmlformats.org/officeDocument/2006/relationships/hyperlink" Target="https://zenmarket.jp/fr/mercariproduct.aspx?itemCode=m11268671402" TargetMode="External"/><Relationship Id="rId237" Type="http://schemas.openxmlformats.org/officeDocument/2006/relationships/hyperlink" Target="https://zenmarket.jp/fr/mercariproduct.aspx?itemCode=m30303746735" TargetMode="External"/><Relationship Id="rId238" Type="http://schemas.openxmlformats.org/officeDocument/2006/relationships/hyperlink" Target="https://zenmarket.jp/mercariproduct.aspx?itemCode=m58691129114" TargetMode="External"/><Relationship Id="rId239" Type="http://schemas.openxmlformats.org/officeDocument/2006/relationships/hyperlink" Target="https://zenmarket.jp/fr/mercariproduct.aspx?itemCode=m64195677610" TargetMode="External"/><Relationship Id="rId240" Type="http://schemas.openxmlformats.org/officeDocument/2006/relationships/hyperlink" Target="https://zenmarket.jp/fr/mercariproduct.aspx?itemCode=m45489682473" TargetMode="External"/><Relationship Id="rId241" Type="http://schemas.openxmlformats.org/officeDocument/2006/relationships/hyperlink" Target="https://zenmarket.jp/fr/mercariproduct.aspx?itemCode=m61317066895" TargetMode="External"/><Relationship Id="rId242" Type="http://schemas.openxmlformats.org/officeDocument/2006/relationships/hyperlink" Target="https://zenmarket.jp/fr/auction.aspx?itemCode=u1228864851" TargetMode="External"/><Relationship Id="rId243" Type="http://schemas.openxmlformats.org/officeDocument/2006/relationships/hyperlink" Target="https://zenmarket.jp/auction.aspx?itemCode=d1229937655" TargetMode="External"/><Relationship Id="rId244" Type="http://schemas.openxmlformats.org/officeDocument/2006/relationships/hyperlink" Target="https://zenmarket.jp/auction.aspx?itemCode=x1229709975" TargetMode="External"/><Relationship Id="rId245" Type="http://schemas.openxmlformats.org/officeDocument/2006/relationships/hyperlink" Target="https://www.vinted.com/items/8984897743-selvedge-jeans-made-in-japan" TargetMode="External"/><Relationship Id="rId246" Type="http://schemas.openxmlformats.org/officeDocument/2006/relationships/hyperlink" Target="https://zenmarket.jp/mercariproduct.aspx?itemCode=m49944574352" TargetMode="External"/><Relationship Id="rId247" Type="http://schemas.openxmlformats.org/officeDocument/2006/relationships/hyperlink" Target="https://zenmarket.jp/mercariproduct.aspx?itemCode=m47671575654" TargetMode="External"/><Relationship Id="rId248" Type="http://schemas.openxmlformats.org/officeDocument/2006/relationships/hyperlink" Target="https://zenmarket.jp/mercariproduct.aspx?itemCode=m59927734781" TargetMode="External"/><Relationship Id="rId249" Type="http://schemas.openxmlformats.org/officeDocument/2006/relationships/hyperlink" Target="https://zenmarket.jp/mercariproduct.aspx?itemCode=m36499323906" TargetMode="External"/><Relationship Id="rId250" Type="http://schemas.openxmlformats.org/officeDocument/2006/relationships/hyperlink" Target="https://zenmarket.jp/mercariproduct.aspx?itemCode=m82296536531" TargetMode="External"/><Relationship Id="rId251" Type="http://schemas.openxmlformats.org/officeDocument/2006/relationships/hyperlink" Target="https://zenmarket.jp/mercariproduct.aspx?itemCode=m96405468675" TargetMode="External"/><Relationship Id="rId252" Type="http://schemas.openxmlformats.org/officeDocument/2006/relationships/hyperlink" Target="https://zenmarket.jp/auction.aspx?itemCode=o1230414512" TargetMode="External"/><Relationship Id="rId253" Type="http://schemas.openxmlformats.org/officeDocument/2006/relationships/hyperlink" Target="https://www.vinted.com/items/9119836718-blouson-teddy-universite-americaine" TargetMode="External"/><Relationship Id="rId254" Type="http://schemas.openxmlformats.org/officeDocument/2006/relationships/hyperlink" Target="https://www.vinted.fr/items/9125123636-rrl-by-ralph-lauren-teddy-jacket" TargetMode="External"/><Relationship Id="rId255" Type="http://schemas.openxmlformats.org/officeDocument/2006/relationships/hyperlink" Target="https://www.vinted.fr/items/9125104244-rrl-denim-trucker-jacket-black" TargetMode="External"/><Relationship Id="rId256" Type="http://schemas.openxmlformats.org/officeDocument/2006/relationships/hyperlink" Target="https://www.vinted.fr/items/9127547454-sweat-south2-west8-taille-l" TargetMode="External"/><Relationship Id="rId257" Type="http://schemas.openxmlformats.org/officeDocument/2006/relationships/hyperlink" Target="https://zenmarket.jp/en/mercariproduct.aspx?itemCode=m19965462502" TargetMode="External"/><Relationship Id="rId258" Type="http://schemas.openxmlformats.org/officeDocument/2006/relationships/hyperlink" Target="https://zenmarket.jp/en/mercariproduct.aspx?itemCode=m69850930052" TargetMode="External"/><Relationship Id="rId259" Type="http://schemas.openxmlformats.org/officeDocument/2006/relationships/hyperlink" Target="https://zenmarket.jp/fr/mercariproduct.aspx?itemCode=m70531363719" TargetMode="External"/><Relationship Id="rId260" Type="http://schemas.openxmlformats.org/officeDocument/2006/relationships/hyperlink" Target="https://zenmarket.jp/en/auction.aspx?itemCode=r1230438411" TargetMode="External"/><Relationship Id="rId261" Type="http://schemas.openxmlformats.org/officeDocument/2006/relationships/hyperlink" Target="https://zenmarket.jp/en/auction.aspx?itemCode=g1231396835" TargetMode="External"/><Relationship Id="rId262" Type="http://schemas.openxmlformats.org/officeDocument/2006/relationships/hyperlink" Target="https://zenmarket.jp/fr/auction.aspx?itemCode=f1231673537" TargetMode="External"/><Relationship Id="rId263" Type="http://schemas.openxmlformats.org/officeDocument/2006/relationships/hyperlink" Target="https://zenmarket.jp/fr/mercariproduct.aspx?itemCode=m23523260636" TargetMode="External"/><Relationship Id="rId264" Type="http://schemas.openxmlformats.org/officeDocument/2006/relationships/hyperlink" Target="https://zenmarket.jp/fr/mercariproduct.aspx?itemCode=m90572365008" TargetMode="External"/><Relationship Id="rId265" Type="http://schemas.openxmlformats.org/officeDocument/2006/relationships/hyperlink" Target="https://zenmarket.jp/fr/mercariproduct.aspx?itemCode=m42809032819" TargetMode="External"/><Relationship Id="rId266" Type="http://schemas.openxmlformats.org/officeDocument/2006/relationships/hyperlink" Target="https://zenmarket.jp/fr/mercariproduct.aspx?itemCode=m56882349966" TargetMode="External"/><Relationship Id="rId267" Type="http://schemas.openxmlformats.org/officeDocument/2006/relationships/hyperlink" Target="https://zenmarket.jp/fr/auction.aspx?itemCode=c1230714779" TargetMode="External"/><Relationship Id="rId268" Type="http://schemas.openxmlformats.org/officeDocument/2006/relationships/hyperlink" Target="https://zenmarket.jp/fr/mercariproduct.aspx?itemCode=m34773689872" TargetMode="External"/><Relationship Id="rId269" Type="http://schemas.openxmlformats.org/officeDocument/2006/relationships/hyperlink" Target="https://zenmarket.jp/fr/mercariproduct.aspx?itemCode=m95214450036" TargetMode="External"/><Relationship Id="rId270" Type="http://schemas.openxmlformats.org/officeDocument/2006/relationships/hyperlink" Target="https://zenmarket.jp/en/mercariproduct.aspx?itemCode=m37276772828" TargetMode="External"/><Relationship Id="rId271" Type="http://schemas.openxmlformats.org/officeDocument/2006/relationships/hyperlink" Target="https://zenmarket.jp/en/mercariproduct.aspx?itemCode=m51795870592" TargetMode="External"/><Relationship Id="rId272" Type="http://schemas.openxmlformats.org/officeDocument/2006/relationships/hyperlink" Target="https://zenmarket.jp/en/auction.aspx?itemCode=r1230909324" TargetMode="External"/><Relationship Id="rId273" Type="http://schemas.openxmlformats.org/officeDocument/2006/relationships/hyperlink" Target="https://zenmarket.jp/en/auction.aspx?itemCode=c1230907904" TargetMode="External"/><Relationship Id="rId274" Type="http://schemas.openxmlformats.org/officeDocument/2006/relationships/hyperlink" Target="https://www.vinted.fr/items/9147824692-momotaro-jeans" TargetMode="External"/><Relationship Id="rId275" Type="http://schemas.openxmlformats.org/officeDocument/2006/relationships/hyperlink" Target="https://zenmarket.jp/fr/mercariproduct.aspx?itemCode=m37892814608" TargetMode="External"/><Relationship Id="rId276" Type="http://schemas.openxmlformats.org/officeDocument/2006/relationships/hyperlink" Target="https://zenmarket.jp/fr/mercariproduct.aspx?itemCode=m10228213617" TargetMode="External"/><Relationship Id="rId277" Type="http://schemas.openxmlformats.org/officeDocument/2006/relationships/hyperlink" Target="https://zenmarket.jp/fr/auction.aspx?itemCode=j1228980872" TargetMode="External"/><Relationship Id="rId278" Type="http://schemas.openxmlformats.org/officeDocument/2006/relationships/hyperlink" Target="https://zenmarket.jp/fr/auction.aspx?itemCode=k1229528030" TargetMode="External"/><Relationship Id="rId279" Type="http://schemas.openxmlformats.org/officeDocument/2006/relationships/hyperlink" Target="https://zenmarket.jp/fr/auction.aspx?itemCode=t1232398491" TargetMode="External"/><Relationship Id="rId280" Type="http://schemas.openxmlformats.org/officeDocument/2006/relationships/hyperlink" Target="https://zenmarket.jp/mercariproduct.aspx?itemCode=m89055319144" TargetMode="External"/><Relationship Id="rId281" Type="http://schemas.openxmlformats.org/officeDocument/2006/relationships/hyperlink" Target="https://zenmarket.jp/mercariproduct.aspx?itemCode=m80825662506" TargetMode="External"/><Relationship Id="rId282" Type="http://schemas.openxmlformats.org/officeDocument/2006/relationships/hyperlink" Target="https://zenmarket.jp/mercariproduct.aspx?itemCode=m16545743959" TargetMode="External"/><Relationship Id="rId283" Type="http://schemas.openxmlformats.org/officeDocument/2006/relationships/hyperlink" Target="https://zenmarket.jp/auction.aspx?itemCode=m1232063096" TargetMode="External"/><Relationship Id="rId284" Type="http://schemas.openxmlformats.org/officeDocument/2006/relationships/hyperlink" Target="https://zenmarket.jp/fr/mercariproduct.aspx?itemCode=m82579633929" TargetMode="External"/><Relationship Id="rId285" Type="http://schemas.openxmlformats.org/officeDocument/2006/relationships/hyperlink" Target="https://zenmarket.jp/fr/mercariproduct.aspx?itemCode=m97370498427" TargetMode="External"/><Relationship Id="rId286" Type="http://schemas.openxmlformats.org/officeDocument/2006/relationships/hyperlink" Target="https://zenmarket.jp/fr/mercariproduct.aspx?itemCode=m49437898830" TargetMode="External"/><Relationship Id="rId287" Type="http://schemas.openxmlformats.org/officeDocument/2006/relationships/hyperlink" Target="https://zenmarket.jp/fr/auction.aspx?itemCode=n1232933344" TargetMode="External"/><Relationship Id="rId288" Type="http://schemas.openxmlformats.org/officeDocument/2006/relationships/hyperlink" Target="https://zenmarket.jp/fr/auction.aspx?itemCode=q1232910142" TargetMode="External"/><Relationship Id="rId289" Type="http://schemas.openxmlformats.org/officeDocument/2006/relationships/hyperlink" Target="https://zenmarket.jp/fr/mercariproduct.aspx?itemCode=m27744076540" TargetMode="External"/><Relationship Id="rId290" Type="http://schemas.openxmlformats.org/officeDocument/2006/relationships/hyperlink" Target="https://zenmarket.jp/fr/mercariproduct.aspx?itemCode=m24158595971" TargetMode="External"/><Relationship Id="rId291" Type="http://schemas.openxmlformats.org/officeDocument/2006/relationships/hyperlink" Target="https://zenmarket.jp/fr/mercariproduct.aspx?itemCode=m69650881256" TargetMode="External"/><Relationship Id="rId292" Type="http://schemas.openxmlformats.org/officeDocument/2006/relationships/hyperlink" Target="https://zenmarket.jp/fr/mercariproduct.aspx?itemCode=m70328006154" TargetMode="External"/><Relationship Id="rId293" Type="http://schemas.openxmlformats.org/officeDocument/2006/relationships/hyperlink" Target="https://zenmarket.jp/fr/mercariproduct.aspx?itemCode=m64245986342" TargetMode="External"/><Relationship Id="rId294" Type="http://schemas.openxmlformats.org/officeDocument/2006/relationships/hyperlink" Target="https://zenmarket.jp/en/mercariproduct.aspx?itemCode=m89952591537" TargetMode="External"/><Relationship Id="rId295" Type="http://schemas.openxmlformats.org/officeDocument/2006/relationships/hyperlink" Target="https://zenmarket.jp/fr/mercariproduct.aspx?itemCode=m21407110443" TargetMode="External"/><Relationship Id="rId296" Type="http://schemas.openxmlformats.org/officeDocument/2006/relationships/hyperlink" Target="https://zenmarket.jp/fr/auction.aspx?itemCode=x1232929206" TargetMode="External"/><Relationship Id="rId297" Type="http://schemas.openxmlformats.org/officeDocument/2006/relationships/hyperlink" Target="https://zenmarket.jp/fr/auction.aspx?itemCode=e1232938832" TargetMode="External"/><Relationship Id="rId298" Type="http://schemas.openxmlformats.org/officeDocument/2006/relationships/hyperlink" Target="https://zenmarket.jp/fr/mercariproduct.aspx?itemCode=m42432004658" TargetMode="External"/><Relationship Id="rId299" Type="http://schemas.openxmlformats.org/officeDocument/2006/relationships/hyperlink" Target="https://zenmarket.jp/fr/mercariproduct.aspx?itemCode=m19604152487" TargetMode="External"/><Relationship Id="rId300" Type="http://schemas.openxmlformats.org/officeDocument/2006/relationships/hyperlink" Target="https://zenmarket.jp/fr/mercariproduct.aspx?itemCode=m25379031919" TargetMode="External"/><Relationship Id="rId301" Type="http://schemas.openxmlformats.org/officeDocument/2006/relationships/hyperlink" Target="https://zenmarket.jp/fr/mercariproduct.aspx?itemCode=m46296381063" TargetMode="External"/><Relationship Id="rId302" Type="http://schemas.openxmlformats.org/officeDocument/2006/relationships/hyperlink" Target="https://zenmarket.jp/fr/mercariproduct.aspx?itemCode=m91396630843" TargetMode="External"/><Relationship Id="rId303" Type="http://schemas.openxmlformats.org/officeDocument/2006/relationships/hyperlink" Target="https://zenmarket.jp/fr/mercariproduct.aspx?itemCode=m66781140322" TargetMode="External"/><Relationship Id="rId304" Type="http://schemas.openxmlformats.org/officeDocument/2006/relationships/hyperlink" Target="https://zenmarket.jp/fr/auction.aspx?itemCode=q1232592932" TargetMode="External"/><Relationship Id="rId305" Type="http://schemas.openxmlformats.org/officeDocument/2006/relationships/hyperlink" Target="https://www.vinted.com/items/9294405969-jean-edwin" TargetMode="External"/><Relationship Id="rId306" Type="http://schemas.openxmlformats.org/officeDocument/2006/relationships/hyperlink" Target="https://www.vinted.com/items/9342935842-adidas-zx-8000-rose" TargetMode="External"/><Relationship Id="rId307" Type="http://schemas.openxmlformats.org/officeDocument/2006/relationships/hyperlink" Target="https://www.vinted.com/items/9344512228-chemise-corridor-texture" TargetMode="External"/><Relationship Id="rId308" Type="http://schemas.openxmlformats.org/officeDocument/2006/relationships/hyperlink" Target="https://zenmarket.jp/fr/mercariproduct.aspx?itemCode=m65446954673" TargetMode="External"/><Relationship Id="rId309" Type="http://schemas.openxmlformats.org/officeDocument/2006/relationships/hyperlink" Target="https://zenmarket.jp/fr/mercariproduct.aspx?itemCode=m42257280768" TargetMode="External"/><Relationship Id="rId310" Type="http://schemas.openxmlformats.org/officeDocument/2006/relationships/hyperlink" Target="https://zenmarket.jp/fr/mercariproduct.aspx?itemCode=m45214882668" TargetMode="External"/><Relationship Id="rId311" Type="http://schemas.openxmlformats.org/officeDocument/2006/relationships/hyperlink" Target="https://zenmarket.jp/fr/mercariproduct.aspx?itemCode=m29845393708" TargetMode="External"/><Relationship Id="rId312" Type="http://schemas.openxmlformats.org/officeDocument/2006/relationships/hyperlink" Target="https://zenmarket.jp/fr/auction.aspx?itemCode=j1235005523" TargetMode="External"/><Relationship Id="rId313" Type="http://schemas.openxmlformats.org/officeDocument/2006/relationships/hyperlink" Target="https://zenmarket.jp/fr/auction.aspx?itemCode=l1234491025" TargetMode="External"/><Relationship Id="rId314" Type="http://schemas.openxmlformats.org/officeDocument/2006/relationships/hyperlink" Target="https://zenmarket.jp/fr/auction.aspx?itemCode=h1235492243" TargetMode="External"/><Relationship Id="rId315" Type="http://schemas.openxmlformats.org/officeDocument/2006/relationships/hyperlink" Target="https://zenmarket.jp/fr/mercariproduct.aspx?itemCode=m87168965366" TargetMode="External"/><Relationship Id="rId316" Type="http://schemas.openxmlformats.org/officeDocument/2006/relationships/hyperlink" Target="https://zenmarket.jp/fr/mercariproduct.aspx?itemCode=m60661753897" TargetMode="External"/><Relationship Id="rId317" Type="http://schemas.openxmlformats.org/officeDocument/2006/relationships/hyperlink" Target="https://zenmarket.jp/fr/mercariproduct.aspx?itemCode=m17248811292" TargetMode="External"/><Relationship Id="rId318" Type="http://schemas.openxmlformats.org/officeDocument/2006/relationships/hyperlink" Target="https://zenmarket.jp/fr/auction.aspx?itemCode=f1234696149" TargetMode="External"/><Relationship Id="rId319" Type="http://schemas.openxmlformats.org/officeDocument/2006/relationships/hyperlink" Target="https://zenmarket.jp/fr/auction.aspx?itemCode=u1235199128" TargetMode="External"/><Relationship Id="rId320" Type="http://schemas.openxmlformats.org/officeDocument/2006/relationships/hyperlink" Target="https://zenmarket.jp/fr/mercariproduct.aspx?itemCode=m80213869790" TargetMode="External"/><Relationship Id="rId321" Type="http://schemas.openxmlformats.org/officeDocument/2006/relationships/hyperlink" Target="https://zenmarket.jp/fr/mercariproduct.aspx?itemCode=m66225626926" TargetMode="External"/><Relationship Id="rId322" Type="http://schemas.openxmlformats.org/officeDocument/2006/relationships/hyperlink" Target="https://zenmarket.jp/fr/mercariproduct.aspx?itemCode=m48582098423" TargetMode="External"/><Relationship Id="rId323" Type="http://schemas.openxmlformats.org/officeDocument/2006/relationships/hyperlink" Target="https://zenmarket.jp/fr/mercariproduct.aspx?itemCode=m36425954667" TargetMode="External"/><Relationship Id="rId324" Type="http://schemas.openxmlformats.org/officeDocument/2006/relationships/hyperlink" Target="https://zenmarket.jp/fr/mercariproduct.aspx?itemCode=m59487534005" TargetMode="External"/><Relationship Id="rId325" Type="http://schemas.openxmlformats.org/officeDocument/2006/relationships/hyperlink" Target="https://zenmarket.jp/fr/mercariproduct.aspx?itemCode=m33911397476" TargetMode="External"/><Relationship Id="rId326" Type="http://schemas.openxmlformats.org/officeDocument/2006/relationships/hyperlink" Target="https://zenmarket.jp/fr/auction.aspx?itemCode=b1235857298" TargetMode="External"/><Relationship Id="rId327" Type="http://schemas.openxmlformats.org/officeDocument/2006/relationships/hyperlink" Target="https://www.vinted.com/items/9422223757-veste-edwin-store" TargetMode="External"/><Relationship Id="rId328" Type="http://schemas.openxmlformats.org/officeDocument/2006/relationships/hyperlink" Target="https://www.vinted.com/items/9395122460-camicia-polo-jeans-company-ralph-lauren-uomo-xl-a-righe-maniche-corte" TargetMode="External"/><Relationship Id="rId329" Type="http://schemas.openxmlformats.org/officeDocument/2006/relationships/hyperlink" Target="https://zenmarket.jp/mercariproduct.aspx?itemCode=m98620892771" TargetMode="External"/><Relationship Id="rId330" Type="http://schemas.openxmlformats.org/officeDocument/2006/relationships/hyperlink" Target="https://zenmarket.jp/mercariproduct.aspx?itemCode=m36626735341" TargetMode="External"/><Relationship Id="rId331" Type="http://schemas.openxmlformats.org/officeDocument/2006/relationships/hyperlink" Target="https://zenmarket.jp/auction.aspx?itemCode=c1234710790" TargetMode="External"/><Relationship Id="rId332" Type="http://schemas.openxmlformats.org/officeDocument/2006/relationships/hyperlink" Target="https://zenmarket.jp/auction.aspx?itemCode=e1235997628" TargetMode="External"/><Relationship Id="rId333" Type="http://schemas.openxmlformats.org/officeDocument/2006/relationships/hyperlink" Target="https://zenmarket.jp/auction.aspx?itemCode=h1235353015" TargetMode="External"/><Relationship Id="rId334" Type="http://schemas.openxmlformats.org/officeDocument/2006/relationships/hyperlink" Target="https://zenmarket.jp/auction.aspx?itemCode=k1236418568" TargetMode="External"/><Relationship Id="rId335" Type="http://schemas.openxmlformats.org/officeDocument/2006/relationships/hyperlink" Target="https://zenmarket.jp/auction.aspx?itemCode=k1237228256" TargetMode="External"/><Relationship Id="rId336" Type="http://schemas.openxmlformats.org/officeDocument/2006/relationships/hyperlink" Target="https://zenmarket.jp/fr/mercariproduct.aspx?itemCode=m96543797845" TargetMode="External"/><Relationship Id="rId337" Type="http://schemas.openxmlformats.org/officeDocument/2006/relationships/hyperlink" Target="https://zenmarket.jp/fr/mercariproduct.aspx?itemCode=m76235057971" TargetMode="External"/><Relationship Id="rId338" Type="http://schemas.openxmlformats.org/officeDocument/2006/relationships/hyperlink" Target="https://zenmarket.jp/fr/mercariproduct.aspx?itemCode=m30723355131" TargetMode="External"/><Relationship Id="rId339" Type="http://schemas.openxmlformats.org/officeDocument/2006/relationships/hyperlink" Target="https://zenmarket.jp/fr/auction.aspx?itemCode=x1234987355" TargetMode="External"/><Relationship Id="rId340" Type="http://schemas.openxmlformats.org/officeDocument/2006/relationships/hyperlink" Target="https://zenmarket.jp/fr/auction.aspx?itemCode=p1236391478" TargetMode="External"/><Relationship Id="rId341" Type="http://schemas.openxmlformats.org/officeDocument/2006/relationships/hyperlink" Target="https://www.vinted.com/items/9579078662-jean-selvedge-japonais-momotaro" TargetMode="External"/><Relationship Id="rId342" Type="http://schemas.openxmlformats.org/officeDocument/2006/relationships/hyperlink" Target="https://www.vinted.fr/items/9594168084-beams-japan-textured-knit-jumper-grey-blue-marled-sweater-m" TargetMode="External"/><Relationship Id="rId343" Type="http://schemas.openxmlformats.org/officeDocument/2006/relationships/hyperlink" Target="https://www.vinted.fr/items/9896305651-chemise-bleu-marine-beams-plus" TargetMode="External"/><Relationship Id="rId344" Type="http://schemas.openxmlformats.org/officeDocument/2006/relationships/hyperlink" Target="https://zenmarket.jp/fr/product.aspx?shop=mercari&amp;itemCode=m81891417128" TargetMode="External"/><Relationship Id="rId345" Type="http://schemas.openxmlformats.org/officeDocument/2006/relationships/hyperlink" Target="https://zenmarket.jp/fr/product.aspx?shop=mercari&amp;itemCode=m27644081421" TargetMode="External"/><Relationship Id="rId346" Type="http://schemas.openxmlformats.org/officeDocument/2006/relationships/hyperlink" Target="https://zenmarket.jp/fr/product.aspx?shop=mercari&amp;itemCode=m29226782433" TargetMode="External"/><Relationship Id="rId347" Type="http://schemas.openxmlformats.org/officeDocument/2006/relationships/hyperlink" Target="https://zenmarket.jp/fr/product.aspx?shop=mercari&amp;itemCode=m23527175116" TargetMode="External"/><Relationship Id="rId348" Type="http://schemas.openxmlformats.org/officeDocument/2006/relationships/hyperlink" Target="https://zenmarket.jp/fr/product.aspx?shop=mercari&amp;itemCode=m97421602620" TargetMode="External"/><Relationship Id="rId349" Type="http://schemas.openxmlformats.org/officeDocument/2006/relationships/hyperlink" Target="https://zenmarket.jp/fr/product.aspx?shop=mercari&amp;itemCode=m46489901208" TargetMode="External"/><Relationship Id="rId350" Type="http://schemas.openxmlformats.org/officeDocument/2006/relationships/hyperlink" Target="https://zenmarket.jp/fr/auction.aspx?itemCode=u1236384651" TargetMode="External"/><Relationship Id="rId351" Type="http://schemas.openxmlformats.org/officeDocument/2006/relationships/hyperlink" Target="https://zenmarket.jp/fr/auction.aspx?itemCode=1236806129" TargetMode="External"/><Relationship Id="rId352" Type="http://schemas.openxmlformats.org/officeDocument/2006/relationships/hyperlink" Target="https://zenmarket.jp/fr/auction.aspx?itemCode=1233436211" TargetMode="External"/><Relationship Id="rId353" Type="http://schemas.openxmlformats.org/officeDocument/2006/relationships/hyperlink" Target="https://zenmarket.jp/fr/auction.aspx?itemCode=r1241169959" TargetMode="External"/><Relationship Id="rId354" Type="http://schemas.openxmlformats.org/officeDocument/2006/relationships/hyperlink" Target="https://www.vinted.fr/items/9985098938-filson-garment-weste" TargetMode="External"/><Relationship Id="rId355" Type="http://schemas.openxmlformats.org/officeDocument/2006/relationships/hyperlink" Target="https://www.vinted.fr/items/10052487537-mochila-negra" TargetMode="External"/><Relationship Id="rId356" Type="http://schemas.openxmlformats.org/officeDocument/2006/relationships/hyperlink" Target="https://www.vinted.com/items/10106631895-cardigan-en-laine-beams" TargetMode="External"/><Relationship Id="rId357" Type="http://schemas.openxmlformats.org/officeDocument/2006/relationships/hyperlink" Target="https://www.vinted.fr/items/10165821153-jeans-uomo" TargetMode="External"/><Relationship Id="rId358" Type="http://schemas.openxmlformats.org/officeDocument/2006/relationships/hyperlink" Target="https://www.vinted.com/items/10192475513-service-works" TargetMode="External"/><Relationship Id="rId359" Type="http://schemas.openxmlformats.org/officeDocument/2006/relationships/hyperlink" Target="https://zenmarket.jp/fr/product.aspx?shop=mercari&amp;itemCode=m69460482054" TargetMode="External"/><Relationship Id="rId360" Type="http://schemas.openxmlformats.org/officeDocument/2006/relationships/hyperlink" Target="https://zenmarket.jp/fr/product.aspx?shop=mercari&amp;itemCode=m54943561660" TargetMode="External"/><Relationship Id="rId361" Type="http://schemas.openxmlformats.org/officeDocument/2006/relationships/hyperlink" Target="https://zenmarket.jp/fr/product.aspx?shop=mercari&amp;itemCode=m38546773838" TargetMode="External"/><Relationship Id="rId362" Type="http://schemas.openxmlformats.org/officeDocument/2006/relationships/hyperlink" Target="https://zenmarket.jp/fr/product.aspx?shop=mercari&amp;itemCode=m99045894762" TargetMode="External"/><Relationship Id="rId363" Type="http://schemas.openxmlformats.org/officeDocument/2006/relationships/hyperlink" Target="https://zenmarket.jp/fr/product.aspx?shop=mercari&amp;itemCode=m45642419055" TargetMode="External"/><Relationship Id="rId364" Type="http://schemas.openxmlformats.org/officeDocument/2006/relationships/hyperlink" Target="https://zenmarket.jp/fr/product.aspx?shop=mercari&amp;itemCode=m56209741140" TargetMode="External"/><Relationship Id="rId365" Type="http://schemas.openxmlformats.org/officeDocument/2006/relationships/hyperlink" Target="https://zenmarket.jp/fr/product.aspx?shop=mercari&amp;itemCode=m99201867248" TargetMode="External"/><Relationship Id="rId366" Type="http://schemas.openxmlformats.org/officeDocument/2006/relationships/hyperlink" Target="https://zenmarket.jp/fr/product.aspx?shop=mercari&amp;itemCode=m66852183942" TargetMode="External"/><Relationship Id="rId367" Type="http://schemas.openxmlformats.org/officeDocument/2006/relationships/hyperlink" Target="https://zenmarket.jp/fr/product.aspx?shop=mercari&amp;itemCode=m95127663548" TargetMode="External"/><Relationship Id="rId368" Type="http://schemas.openxmlformats.org/officeDocument/2006/relationships/hyperlink" Target="https://zenmarket.jp/fr/product.aspx?shop=mercari&amp;itemCode=m39972673845" TargetMode="External"/><Relationship Id="rId369" Type="http://schemas.openxmlformats.org/officeDocument/2006/relationships/hyperlink" Target="https://zenmarket.jp/fr/product.aspx?shop=mercari&amp;itemCode=m12136223574" TargetMode="External"/><Relationship Id="rId370" Type="http://schemas.openxmlformats.org/officeDocument/2006/relationships/hyperlink" Target="https://zenmarket.jp/fr/product.aspx?shop=mercari&amp;itemCode=m45118030636" TargetMode="External"/><Relationship Id="rId371" Type="http://schemas.openxmlformats.org/officeDocument/2006/relationships/hyperlink" Target="https://www.vinted.com/items/10222700434-camicia-a-quadri-beams" TargetMode="External"/><Relationship Id="rId372" Type="http://schemas.openxmlformats.org/officeDocument/2006/relationships/hyperlink" Target="https://www.vinted.com/items/10224154295-jean-beige-ordinary-fits" TargetMode="External"/><Relationship Id="rId373" Type="http://schemas.openxmlformats.org/officeDocument/2006/relationships/hyperlink" Target="https://www.vinted.com/items/10230837150-porter-international-messengerbag-schultertasche-tasche" TargetMode="External"/><Relationship Id="rId374" Type="http://schemas.openxmlformats.org/officeDocument/2006/relationships/table" Target="../tables/table5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3" Type="http://schemas.openxmlformats.org/officeDocument/2006/relationships/table" Target="../tables/table1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11.xml"/><Relationship Id="rId3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35" customWidth="1"/>
    <col min="3" max="15" width="19" customWidth="1"/>
  </cols>
  <sheetData>
    <row r="1" spans="1:15" x14ac:dyDescent="0.25">
      <c r="A1" t="s">
        <v>128</v>
      </c>
      <c r="B1" t="s">
        <v>127</v>
      </c>
      <c r="C1" t="s">
        <v>1248</v>
      </c>
      <c r="D1" t="s">
        <v>1249</v>
      </c>
      <c r="E1" t="s">
        <v>1250</v>
      </c>
      <c r="F1" t="s">
        <v>1251</v>
      </c>
      <c r="G1" t="s">
        <v>1252</v>
      </c>
      <c r="H1" t="s">
        <v>1253</v>
      </c>
      <c r="I1" t="s">
        <v>1254</v>
      </c>
      <c r="J1" t="s">
        <v>1255</v>
      </c>
      <c r="K1" t="s">
        <v>1256</v>
      </c>
      <c r="L1" t="s">
        <v>1257</v>
      </c>
      <c r="M1" t="s">
        <v>1258</v>
      </c>
      <c r="N1" t="s">
        <v>1259</v>
      </c>
      <c r="O1" t="s">
        <v>1260</v>
      </c>
    </row>
    <row r="2" spans="1:11" x14ac:dyDescent="0.25">
      <c r="A2" t="s">
        <v>156</v>
      </c>
      <c r="B2" t="s">
        <v>155</v>
      </c>
      <c r="C2" t="s">
        <v>1261</v>
      </c>
      <c r="D2" t="s">
        <v>160</v>
      </c>
      <c r="E2" t="s">
        <v>1262</v>
      </c>
      <c r="F2">
        <v>75</v>
      </c>
      <c r="J2" t="s">
        <v>1263</v>
      </c>
      <c r="K2" t="s">
        <v>1264</v>
      </c>
    </row>
    <row r="3" spans="1:11" x14ac:dyDescent="0.25">
      <c r="A3" t="s">
        <v>162</v>
      </c>
      <c r="B3" t="s">
        <v>161</v>
      </c>
      <c r="C3" t="s">
        <v>1261</v>
      </c>
      <c r="D3" t="s">
        <v>160</v>
      </c>
      <c r="E3" t="s">
        <v>1262</v>
      </c>
      <c r="F3">
        <v>40</v>
      </c>
      <c r="J3" t="s">
        <v>1263</v>
      </c>
      <c r="K3" t="s">
        <v>1265</v>
      </c>
    </row>
    <row r="4" spans="1:11" x14ac:dyDescent="0.25">
      <c r="A4" t="s">
        <v>167</v>
      </c>
      <c r="B4" t="s">
        <v>166</v>
      </c>
      <c r="C4" t="s">
        <v>1261</v>
      </c>
      <c r="D4" t="s">
        <v>160</v>
      </c>
      <c r="E4" t="s">
        <v>1262</v>
      </c>
      <c r="F4">
        <v>40</v>
      </c>
      <c r="J4" t="s">
        <v>1263</v>
      </c>
      <c r="K4" t="s">
        <v>1266</v>
      </c>
    </row>
    <row r="5" spans="1:11" x14ac:dyDescent="0.25">
      <c r="A5" t="s">
        <v>169</v>
      </c>
      <c r="B5" t="s">
        <v>168</v>
      </c>
      <c r="C5" t="s">
        <v>1261</v>
      </c>
      <c r="D5" t="s">
        <v>160</v>
      </c>
      <c r="E5" t="s">
        <v>1262</v>
      </c>
      <c r="F5">
        <v>85</v>
      </c>
      <c r="J5" t="s">
        <v>1263</v>
      </c>
      <c r="K5" t="s">
        <v>1267</v>
      </c>
    </row>
    <row r="6" spans="1:11" x14ac:dyDescent="0.25">
      <c r="A6" t="s">
        <v>172</v>
      </c>
      <c r="B6" t="s">
        <v>171</v>
      </c>
      <c r="C6" t="s">
        <v>1261</v>
      </c>
      <c r="D6" t="s">
        <v>160</v>
      </c>
      <c r="E6" t="s">
        <v>1262</v>
      </c>
      <c r="F6">
        <v>130</v>
      </c>
      <c r="J6" t="s">
        <v>1263</v>
      </c>
      <c r="K6" t="s">
        <v>1268</v>
      </c>
    </row>
    <row r="7" spans="1:11" x14ac:dyDescent="0.25">
      <c r="A7" t="s">
        <v>176</v>
      </c>
      <c r="B7" t="s">
        <v>175</v>
      </c>
      <c r="C7" t="s">
        <v>1261</v>
      </c>
      <c r="D7" t="s">
        <v>160</v>
      </c>
      <c r="E7" t="s">
        <v>1262</v>
      </c>
      <c r="F7">
        <v>170</v>
      </c>
      <c r="J7" t="s">
        <v>1263</v>
      </c>
      <c r="K7" t="s">
        <v>1269</v>
      </c>
    </row>
    <row r="8" spans="1:11" x14ac:dyDescent="0.25">
      <c r="A8" t="s">
        <v>180</v>
      </c>
      <c r="B8" t="s">
        <v>179</v>
      </c>
      <c r="C8" t="s">
        <v>1261</v>
      </c>
      <c r="D8" t="s">
        <v>160</v>
      </c>
      <c r="E8" t="s">
        <v>1262</v>
      </c>
      <c r="F8">
        <v>195</v>
      </c>
      <c r="J8" t="s">
        <v>1263</v>
      </c>
      <c r="K8" t="s">
        <v>1270</v>
      </c>
    </row>
    <row r="9" spans="1:11" x14ac:dyDescent="0.25">
      <c r="A9" t="s">
        <v>183</v>
      </c>
      <c r="B9" t="s">
        <v>182</v>
      </c>
      <c r="C9" t="s">
        <v>1261</v>
      </c>
      <c r="D9" t="s">
        <v>160</v>
      </c>
      <c r="E9" t="s">
        <v>1262</v>
      </c>
      <c r="F9">
        <v>45</v>
      </c>
      <c r="J9" t="s">
        <v>1263</v>
      </c>
      <c r="K9" t="s">
        <v>1271</v>
      </c>
    </row>
    <row r="10" spans="1:11" x14ac:dyDescent="0.25">
      <c r="A10" t="s">
        <v>186</v>
      </c>
      <c r="B10" t="s">
        <v>185</v>
      </c>
      <c r="C10" t="s">
        <v>1261</v>
      </c>
      <c r="D10" t="s">
        <v>160</v>
      </c>
      <c r="E10" t="s">
        <v>1262</v>
      </c>
      <c r="F10">
        <v>80</v>
      </c>
      <c r="J10" t="s">
        <v>1263</v>
      </c>
      <c r="K10" t="s">
        <v>1272</v>
      </c>
    </row>
    <row r="11" spans="1:11" x14ac:dyDescent="0.25">
      <c r="A11" t="s">
        <v>188</v>
      </c>
      <c r="B11" t="s">
        <v>187</v>
      </c>
      <c r="C11" t="s">
        <v>1261</v>
      </c>
      <c r="D11" t="s">
        <v>160</v>
      </c>
      <c r="E11" t="s">
        <v>1262</v>
      </c>
      <c r="F11">
        <v>87.5</v>
      </c>
      <c r="J11" t="s">
        <v>1263</v>
      </c>
      <c r="K11" t="s">
        <v>1273</v>
      </c>
    </row>
    <row r="12" spans="1:11" x14ac:dyDescent="0.25">
      <c r="A12" t="s">
        <v>191</v>
      </c>
      <c r="B12" t="s">
        <v>190</v>
      </c>
      <c r="C12" t="s">
        <v>1261</v>
      </c>
      <c r="D12" t="s">
        <v>160</v>
      </c>
      <c r="E12" t="s">
        <v>1262</v>
      </c>
      <c r="F12">
        <v>87.5</v>
      </c>
      <c r="J12" t="s">
        <v>1263</v>
      </c>
      <c r="K12" t="s">
        <v>1273</v>
      </c>
    </row>
    <row r="13" spans="1:11" x14ac:dyDescent="0.25">
      <c r="A13" t="s">
        <v>193</v>
      </c>
      <c r="B13" t="s">
        <v>192</v>
      </c>
      <c r="C13" t="s">
        <v>1261</v>
      </c>
      <c r="D13" t="s">
        <v>160</v>
      </c>
      <c r="E13" t="s">
        <v>1262</v>
      </c>
      <c r="F13">
        <v>80</v>
      </c>
      <c r="J13" t="s">
        <v>1263</v>
      </c>
      <c r="K13" t="s">
        <v>1274</v>
      </c>
    </row>
    <row r="14" spans="1:11" x14ac:dyDescent="0.25">
      <c r="A14" t="s">
        <v>196</v>
      </c>
      <c r="B14" t="s">
        <v>195</v>
      </c>
      <c r="C14" t="s">
        <v>1261</v>
      </c>
      <c r="D14" t="s">
        <v>160</v>
      </c>
      <c r="E14" t="s">
        <v>1262</v>
      </c>
      <c r="F14">
        <v>75</v>
      </c>
      <c r="J14" t="s">
        <v>1263</v>
      </c>
      <c r="K14" t="s">
        <v>1275</v>
      </c>
    </row>
    <row r="15" spans="1:11" x14ac:dyDescent="0.25">
      <c r="A15" t="s">
        <v>198</v>
      </c>
      <c r="B15" t="s">
        <v>197</v>
      </c>
      <c r="C15" t="s">
        <v>1261</v>
      </c>
      <c r="D15" t="s">
        <v>160</v>
      </c>
      <c r="E15" t="s">
        <v>1262</v>
      </c>
      <c r="F15">
        <v>20</v>
      </c>
      <c r="J15" t="s">
        <v>1263</v>
      </c>
      <c r="K15" t="s">
        <v>1276</v>
      </c>
    </row>
    <row r="16" spans="1:11" x14ac:dyDescent="0.25">
      <c r="A16" t="s">
        <v>201</v>
      </c>
      <c r="B16" t="s">
        <v>200</v>
      </c>
      <c r="C16" t="s">
        <v>1261</v>
      </c>
      <c r="D16" t="s">
        <v>160</v>
      </c>
      <c r="E16" t="s">
        <v>1262</v>
      </c>
      <c r="F16">
        <v>62.5</v>
      </c>
      <c r="J16" t="s">
        <v>1263</v>
      </c>
      <c r="K16" t="s">
        <v>1277</v>
      </c>
    </row>
    <row r="17" spans="1:11" x14ac:dyDescent="0.25">
      <c r="A17" t="s">
        <v>204</v>
      </c>
      <c r="B17" t="s">
        <v>203</v>
      </c>
      <c r="C17" t="s">
        <v>1261</v>
      </c>
      <c r="D17" t="s">
        <v>160</v>
      </c>
      <c r="E17" t="s">
        <v>1262</v>
      </c>
      <c r="F17">
        <v>62.5</v>
      </c>
      <c r="J17" t="s">
        <v>1263</v>
      </c>
      <c r="K17" t="s">
        <v>1277</v>
      </c>
    </row>
    <row r="18" spans="1:11" x14ac:dyDescent="0.25">
      <c r="A18" t="s">
        <v>206</v>
      </c>
      <c r="B18" t="s">
        <v>205</v>
      </c>
      <c r="C18" t="s">
        <v>1261</v>
      </c>
      <c r="D18" t="s">
        <v>160</v>
      </c>
      <c r="E18" t="s">
        <v>1262</v>
      </c>
      <c r="F18">
        <v>250</v>
      </c>
      <c r="J18" t="s">
        <v>1263</v>
      </c>
      <c r="K18" t="s">
        <v>1278</v>
      </c>
    </row>
    <row r="19" spans="1:11" x14ac:dyDescent="0.25">
      <c r="A19" t="s">
        <v>208</v>
      </c>
      <c r="B19" t="s">
        <v>207</v>
      </c>
      <c r="C19" t="s">
        <v>1261</v>
      </c>
      <c r="D19" t="s">
        <v>160</v>
      </c>
      <c r="E19" t="s">
        <v>1262</v>
      </c>
      <c r="F19">
        <v>20</v>
      </c>
      <c r="J19" t="s">
        <v>1263</v>
      </c>
      <c r="K19" t="s">
        <v>1271</v>
      </c>
    </row>
    <row r="20" spans="1:11" x14ac:dyDescent="0.25">
      <c r="A20" t="s">
        <v>211</v>
      </c>
      <c r="B20" t="s">
        <v>210</v>
      </c>
      <c r="C20" t="s">
        <v>1261</v>
      </c>
      <c r="D20" t="s">
        <v>160</v>
      </c>
      <c r="E20" t="s">
        <v>1262</v>
      </c>
      <c r="F20">
        <v>80</v>
      </c>
      <c r="J20" t="s">
        <v>1263</v>
      </c>
      <c r="K20" t="s">
        <v>1279</v>
      </c>
    </row>
    <row r="21" spans="1:11" x14ac:dyDescent="0.25">
      <c r="A21" t="s">
        <v>215</v>
      </c>
      <c r="B21" t="s">
        <v>214</v>
      </c>
      <c r="C21" t="s">
        <v>1261</v>
      </c>
      <c r="D21" t="s">
        <v>160</v>
      </c>
      <c r="E21" t="s">
        <v>1262</v>
      </c>
      <c r="F21">
        <v>60</v>
      </c>
      <c r="J21" t="s">
        <v>1263</v>
      </c>
      <c r="K21" t="s">
        <v>1280</v>
      </c>
    </row>
    <row r="22" spans="1:11" x14ac:dyDescent="0.25">
      <c r="A22" t="s">
        <v>217</v>
      </c>
      <c r="B22" t="s">
        <v>216</v>
      </c>
      <c r="C22" t="s">
        <v>1261</v>
      </c>
      <c r="D22" t="s">
        <v>218</v>
      </c>
      <c r="E22" t="s">
        <v>1262</v>
      </c>
      <c r="F22">
        <v>88.7</v>
      </c>
      <c r="J22" t="s">
        <v>1263</v>
      </c>
      <c r="K22" t="s">
        <v>1281</v>
      </c>
    </row>
    <row r="23" spans="1:11" x14ac:dyDescent="0.25">
      <c r="A23" t="s">
        <v>221</v>
      </c>
      <c r="B23" t="s">
        <v>220</v>
      </c>
      <c r="C23" t="s">
        <v>1261</v>
      </c>
      <c r="D23" t="s">
        <v>160</v>
      </c>
      <c r="E23" t="s">
        <v>1262</v>
      </c>
      <c r="F23">
        <v>80</v>
      </c>
      <c r="J23" t="s">
        <v>1263</v>
      </c>
      <c r="K23" t="s">
        <v>1282</v>
      </c>
    </row>
    <row r="24" spans="1:11" x14ac:dyDescent="0.25">
      <c r="A24" t="s">
        <v>223</v>
      </c>
      <c r="B24" t="s">
        <v>222</v>
      </c>
      <c r="C24" t="s">
        <v>1261</v>
      </c>
      <c r="D24" t="s">
        <v>160</v>
      </c>
      <c r="E24" t="s">
        <v>1262</v>
      </c>
      <c r="F24">
        <v>32</v>
      </c>
      <c r="J24" t="s">
        <v>1263</v>
      </c>
      <c r="K24" t="s">
        <v>1283</v>
      </c>
    </row>
    <row r="25" spans="1:11" x14ac:dyDescent="0.25">
      <c r="A25" t="s">
        <v>225</v>
      </c>
      <c r="B25" t="s">
        <v>224</v>
      </c>
      <c r="C25" t="s">
        <v>1261</v>
      </c>
      <c r="D25" t="s">
        <v>160</v>
      </c>
      <c r="E25" t="s">
        <v>1262</v>
      </c>
      <c r="F25">
        <v>20</v>
      </c>
      <c r="J25" t="s">
        <v>1263</v>
      </c>
      <c r="K25" t="s">
        <v>1284</v>
      </c>
    </row>
    <row r="26" spans="1:11" x14ac:dyDescent="0.25">
      <c r="A26" t="s">
        <v>227</v>
      </c>
      <c r="B26" t="s">
        <v>226</v>
      </c>
      <c r="C26" t="s">
        <v>1261</v>
      </c>
      <c r="D26" t="s">
        <v>160</v>
      </c>
      <c r="E26" t="s">
        <v>1262</v>
      </c>
      <c r="F26">
        <v>49.5</v>
      </c>
      <c r="J26" t="s">
        <v>1263</v>
      </c>
      <c r="K26" t="s">
        <v>1285</v>
      </c>
    </row>
    <row r="27" spans="1:11" x14ac:dyDescent="0.25">
      <c r="A27" t="s">
        <v>230</v>
      </c>
      <c r="B27" t="s">
        <v>229</v>
      </c>
      <c r="C27" t="s">
        <v>1261</v>
      </c>
      <c r="D27" t="s">
        <v>160</v>
      </c>
      <c r="E27" t="s">
        <v>1262</v>
      </c>
      <c r="F27">
        <v>75</v>
      </c>
      <c r="J27" t="s">
        <v>1263</v>
      </c>
      <c r="K27" t="s">
        <v>1286</v>
      </c>
    </row>
    <row r="28" spans="1:11" x14ac:dyDescent="0.25">
      <c r="A28" t="s">
        <v>232</v>
      </c>
      <c r="B28" t="s">
        <v>231</v>
      </c>
      <c r="C28" t="s">
        <v>1261</v>
      </c>
      <c r="D28" t="s">
        <v>160</v>
      </c>
      <c r="E28" t="s">
        <v>1262</v>
      </c>
      <c r="F28">
        <v>120</v>
      </c>
      <c r="J28" t="s">
        <v>1263</v>
      </c>
      <c r="K28" t="s">
        <v>1279</v>
      </c>
    </row>
    <row r="29" spans="1:11" x14ac:dyDescent="0.25">
      <c r="A29" t="s">
        <v>235</v>
      </c>
      <c r="B29" t="s">
        <v>234</v>
      </c>
      <c r="C29" t="s">
        <v>1261</v>
      </c>
      <c r="D29" t="s">
        <v>160</v>
      </c>
      <c r="E29" t="s">
        <v>1262</v>
      </c>
      <c r="F29">
        <v>85</v>
      </c>
      <c r="J29" t="s">
        <v>1263</v>
      </c>
      <c r="K29" t="s">
        <v>1287</v>
      </c>
    </row>
    <row r="30" spans="1:11" x14ac:dyDescent="0.25">
      <c r="A30" t="s">
        <v>237</v>
      </c>
      <c r="B30" t="s">
        <v>236</v>
      </c>
      <c r="C30" t="s">
        <v>1261</v>
      </c>
      <c r="D30" t="s">
        <v>160</v>
      </c>
      <c r="E30" t="s">
        <v>1262</v>
      </c>
      <c r="F30">
        <v>180</v>
      </c>
      <c r="J30" t="s">
        <v>1263</v>
      </c>
      <c r="K30" t="s">
        <v>1288</v>
      </c>
    </row>
    <row r="31" spans="1:11" x14ac:dyDescent="0.25">
      <c r="A31" t="s">
        <v>240</v>
      </c>
      <c r="B31" t="s">
        <v>239</v>
      </c>
      <c r="C31" t="s">
        <v>1261</v>
      </c>
      <c r="D31" t="s">
        <v>160</v>
      </c>
      <c r="E31" t="s">
        <v>1262</v>
      </c>
      <c r="F31">
        <v>100</v>
      </c>
      <c r="J31" t="s">
        <v>1263</v>
      </c>
      <c r="K31" t="s">
        <v>1289</v>
      </c>
    </row>
    <row r="32" spans="1:11" x14ac:dyDescent="0.25">
      <c r="A32" t="s">
        <v>242</v>
      </c>
      <c r="B32" t="s">
        <v>207</v>
      </c>
      <c r="C32" t="s">
        <v>1261</v>
      </c>
      <c r="D32" t="s">
        <v>160</v>
      </c>
      <c r="E32" t="s">
        <v>1262</v>
      </c>
      <c r="F32">
        <v>17.6</v>
      </c>
      <c r="J32" t="s">
        <v>1263</v>
      </c>
      <c r="K32" t="s">
        <v>1276</v>
      </c>
    </row>
    <row r="33" spans="1:11" x14ac:dyDescent="0.25">
      <c r="A33" t="s">
        <v>244</v>
      </c>
      <c r="B33" t="s">
        <v>168</v>
      </c>
      <c r="C33" t="s">
        <v>1261</v>
      </c>
      <c r="D33" t="s">
        <v>160</v>
      </c>
      <c r="E33" t="s">
        <v>1262</v>
      </c>
      <c r="F33">
        <v>12</v>
      </c>
      <c r="J33" t="s">
        <v>1263</v>
      </c>
      <c r="K33" t="s">
        <v>1290</v>
      </c>
    </row>
    <row r="34" spans="1:11" x14ac:dyDescent="0.25">
      <c r="A34" t="s">
        <v>247</v>
      </c>
      <c r="B34" t="s">
        <v>1291</v>
      </c>
      <c r="C34" t="s">
        <v>1261</v>
      </c>
      <c r="D34" t="s">
        <v>160</v>
      </c>
      <c r="E34" t="s">
        <v>1262</v>
      </c>
      <c r="F34">
        <v>9.5</v>
      </c>
      <c r="J34" t="s">
        <v>1263</v>
      </c>
      <c r="K34" t="s">
        <v>1292</v>
      </c>
    </row>
    <row r="35" spans="1:11" x14ac:dyDescent="0.25">
      <c r="A35" t="s">
        <v>249</v>
      </c>
      <c r="B35" t="s">
        <v>205</v>
      </c>
      <c r="C35" t="s">
        <v>1261</v>
      </c>
      <c r="D35" t="s">
        <v>160</v>
      </c>
      <c r="E35" t="s">
        <v>1262</v>
      </c>
      <c r="F35">
        <v>16</v>
      </c>
      <c r="J35" t="s">
        <v>1263</v>
      </c>
      <c r="K35" t="s">
        <v>1293</v>
      </c>
    </row>
    <row r="36" spans="1:11" x14ac:dyDescent="0.25">
      <c r="A36" t="s">
        <v>250</v>
      </c>
      <c r="B36" t="s">
        <v>226</v>
      </c>
      <c r="C36" t="s">
        <v>1261</v>
      </c>
      <c r="D36" t="s">
        <v>160</v>
      </c>
      <c r="E36" t="s">
        <v>1262</v>
      </c>
      <c r="F36">
        <v>50</v>
      </c>
      <c r="J36" t="s">
        <v>1263</v>
      </c>
      <c r="K36" t="s">
        <v>1281</v>
      </c>
    </row>
    <row r="37" spans="1:11" x14ac:dyDescent="0.25">
      <c r="A37" t="s">
        <v>253</v>
      </c>
      <c r="B37" t="s">
        <v>252</v>
      </c>
      <c r="C37" t="s">
        <v>1261</v>
      </c>
      <c r="D37" t="s">
        <v>160</v>
      </c>
      <c r="E37" t="s">
        <v>1262</v>
      </c>
      <c r="F37">
        <v>50</v>
      </c>
      <c r="J37" t="s">
        <v>1263</v>
      </c>
      <c r="K37" t="s">
        <v>1294</v>
      </c>
    </row>
    <row r="38" spans="1:11" x14ac:dyDescent="0.25">
      <c r="A38" t="s">
        <v>255</v>
      </c>
      <c r="B38" t="s">
        <v>226</v>
      </c>
      <c r="C38" t="s">
        <v>1261</v>
      </c>
      <c r="D38" t="s">
        <v>160</v>
      </c>
      <c r="E38" t="s">
        <v>1262</v>
      </c>
      <c r="F38">
        <v>31</v>
      </c>
      <c r="J38" t="s">
        <v>1263</v>
      </c>
      <c r="K38" t="s">
        <v>1286</v>
      </c>
    </row>
    <row r="39" spans="1:11" x14ac:dyDescent="0.25">
      <c r="A39" t="s">
        <v>258</v>
      </c>
      <c r="B39" t="s">
        <v>257</v>
      </c>
      <c r="C39" t="s">
        <v>1261</v>
      </c>
      <c r="D39" t="s">
        <v>160</v>
      </c>
      <c r="E39" t="s">
        <v>1262</v>
      </c>
      <c r="F39">
        <v>20</v>
      </c>
      <c r="J39" t="s">
        <v>1263</v>
      </c>
      <c r="K39" t="s">
        <v>1276</v>
      </c>
    </row>
    <row r="40" spans="1:11" x14ac:dyDescent="0.25">
      <c r="A40" t="s">
        <v>260</v>
      </c>
      <c r="B40" t="s">
        <v>207</v>
      </c>
      <c r="C40" t="s">
        <v>1261</v>
      </c>
      <c r="D40" t="s">
        <v>160</v>
      </c>
      <c r="E40" t="s">
        <v>1262</v>
      </c>
      <c r="F40">
        <v>20</v>
      </c>
      <c r="J40" t="s">
        <v>1263</v>
      </c>
      <c r="K40" t="s">
        <v>1295</v>
      </c>
    </row>
    <row r="41" spans="1:11" x14ac:dyDescent="0.25">
      <c r="A41" t="s">
        <v>262</v>
      </c>
      <c r="B41" t="s">
        <v>207</v>
      </c>
      <c r="C41" t="s">
        <v>1261</v>
      </c>
      <c r="D41" t="s">
        <v>160</v>
      </c>
      <c r="E41" t="s">
        <v>1262</v>
      </c>
      <c r="F41">
        <v>17.5</v>
      </c>
      <c r="J41" t="s">
        <v>1263</v>
      </c>
      <c r="K41" t="s">
        <v>1296</v>
      </c>
    </row>
    <row r="42" spans="1:11" x14ac:dyDescent="0.25">
      <c r="A42" t="s">
        <v>263</v>
      </c>
      <c r="B42" t="s">
        <v>207</v>
      </c>
      <c r="C42" t="s">
        <v>1261</v>
      </c>
      <c r="D42" t="s">
        <v>160</v>
      </c>
      <c r="E42" t="s">
        <v>1262</v>
      </c>
      <c r="F42">
        <v>20</v>
      </c>
      <c r="J42" t="s">
        <v>1263</v>
      </c>
      <c r="K42" t="s">
        <v>1297</v>
      </c>
    </row>
    <row r="43" spans="1:11" x14ac:dyDescent="0.25">
      <c r="A43" t="s">
        <v>264</v>
      </c>
      <c r="B43" t="s">
        <v>207</v>
      </c>
      <c r="C43" t="s">
        <v>1261</v>
      </c>
      <c r="D43" t="s">
        <v>160</v>
      </c>
      <c r="E43" t="s">
        <v>1262</v>
      </c>
      <c r="F43">
        <v>20</v>
      </c>
      <c r="J43" t="s">
        <v>1263</v>
      </c>
      <c r="K43" t="s">
        <v>1297</v>
      </c>
    </row>
    <row r="44" spans="1:11" x14ac:dyDescent="0.25">
      <c r="A44" t="s">
        <v>265</v>
      </c>
      <c r="B44" t="s">
        <v>226</v>
      </c>
      <c r="C44" t="s">
        <v>1261</v>
      </c>
      <c r="D44" t="s">
        <v>160</v>
      </c>
      <c r="E44" t="s">
        <v>1262</v>
      </c>
      <c r="F44">
        <v>60</v>
      </c>
      <c r="J44" t="s">
        <v>1263</v>
      </c>
      <c r="K44" t="s">
        <v>1298</v>
      </c>
    </row>
    <row r="45" spans="1:11" x14ac:dyDescent="0.25">
      <c r="A45" t="s">
        <v>267</v>
      </c>
      <c r="B45" t="s">
        <v>266</v>
      </c>
      <c r="C45" t="s">
        <v>1261</v>
      </c>
      <c r="D45" t="s">
        <v>160</v>
      </c>
      <c r="E45" t="s">
        <v>1262</v>
      </c>
      <c r="F45">
        <v>36</v>
      </c>
      <c r="J45" t="s">
        <v>1263</v>
      </c>
      <c r="K45" t="s">
        <v>1299</v>
      </c>
    </row>
    <row r="46" spans="1:11" x14ac:dyDescent="0.25">
      <c r="A46" t="s">
        <v>270</v>
      </c>
      <c r="B46" t="s">
        <v>269</v>
      </c>
      <c r="C46" t="s">
        <v>1261</v>
      </c>
      <c r="D46" t="s">
        <v>160</v>
      </c>
      <c r="E46" t="s">
        <v>1262</v>
      </c>
      <c r="F46">
        <v>35</v>
      </c>
      <c r="J46" t="s">
        <v>1263</v>
      </c>
      <c r="K46" t="s">
        <v>1298</v>
      </c>
    </row>
    <row r="47" spans="1:11" x14ac:dyDescent="0.25">
      <c r="A47" t="s">
        <v>274</v>
      </c>
      <c r="B47" t="s">
        <v>273</v>
      </c>
      <c r="C47" t="s">
        <v>1261</v>
      </c>
      <c r="D47" t="s">
        <v>160</v>
      </c>
      <c r="E47" t="s">
        <v>1262</v>
      </c>
      <c r="F47">
        <v>43</v>
      </c>
      <c r="J47" t="s">
        <v>1263</v>
      </c>
      <c r="K47" t="s">
        <v>1296</v>
      </c>
    </row>
    <row r="48" spans="1:11" x14ac:dyDescent="0.25">
      <c r="A48" t="s">
        <v>276</v>
      </c>
      <c r="B48" t="s">
        <v>269</v>
      </c>
      <c r="C48" t="s">
        <v>1261</v>
      </c>
      <c r="D48" t="s">
        <v>160</v>
      </c>
      <c r="E48" t="s">
        <v>1262</v>
      </c>
      <c r="F48">
        <v>65</v>
      </c>
      <c r="J48" t="s">
        <v>1263</v>
      </c>
      <c r="K48" t="s">
        <v>1300</v>
      </c>
    </row>
    <row r="49" spans="1:11" x14ac:dyDescent="0.25">
      <c r="A49" t="s">
        <v>278</v>
      </c>
      <c r="B49" t="s">
        <v>234</v>
      </c>
      <c r="C49" t="s">
        <v>1261</v>
      </c>
      <c r="D49" t="s">
        <v>160</v>
      </c>
      <c r="E49" t="s">
        <v>1262</v>
      </c>
      <c r="F49">
        <v>45</v>
      </c>
      <c r="J49" t="s">
        <v>1263</v>
      </c>
      <c r="K49" t="s">
        <v>1301</v>
      </c>
    </row>
    <row r="50" spans="1:11" x14ac:dyDescent="0.25">
      <c r="A50" t="s">
        <v>280</v>
      </c>
      <c r="B50" t="s">
        <v>203</v>
      </c>
      <c r="C50" t="s">
        <v>1261</v>
      </c>
      <c r="D50" t="s">
        <v>160</v>
      </c>
      <c r="E50" t="s">
        <v>1262</v>
      </c>
      <c r="F50">
        <v>75</v>
      </c>
      <c r="J50" t="s">
        <v>1263</v>
      </c>
      <c r="K50" t="s">
        <v>1274</v>
      </c>
    </row>
    <row r="51" spans="1:11" x14ac:dyDescent="0.25">
      <c r="A51" t="s">
        <v>283</v>
      </c>
      <c r="B51" t="s">
        <v>282</v>
      </c>
      <c r="C51" t="s">
        <v>1261</v>
      </c>
      <c r="D51" t="s">
        <v>160</v>
      </c>
      <c r="E51" t="s">
        <v>1262</v>
      </c>
      <c r="F51">
        <v>15</v>
      </c>
      <c r="J51" t="s">
        <v>1263</v>
      </c>
      <c r="K51" t="s">
        <v>1302</v>
      </c>
    </row>
    <row r="52" spans="1:11" x14ac:dyDescent="0.25">
      <c r="A52" t="s">
        <v>286</v>
      </c>
      <c r="B52" t="s">
        <v>285</v>
      </c>
      <c r="C52" t="s">
        <v>1261</v>
      </c>
      <c r="D52" t="s">
        <v>160</v>
      </c>
      <c r="E52" t="s">
        <v>1262</v>
      </c>
      <c r="F52">
        <v>50</v>
      </c>
      <c r="J52" t="s">
        <v>1263</v>
      </c>
      <c r="K52" t="s">
        <v>1275</v>
      </c>
    </row>
    <row r="53" spans="1:11" x14ac:dyDescent="0.25">
      <c r="A53" t="s">
        <v>289</v>
      </c>
      <c r="B53" t="s">
        <v>288</v>
      </c>
      <c r="C53" t="s">
        <v>1261</v>
      </c>
      <c r="D53" t="s">
        <v>160</v>
      </c>
      <c r="E53" t="s">
        <v>1262</v>
      </c>
      <c r="F53">
        <v>36</v>
      </c>
      <c r="J53" t="s">
        <v>1263</v>
      </c>
      <c r="K53" t="s">
        <v>1303</v>
      </c>
    </row>
    <row r="54" spans="1:11" x14ac:dyDescent="0.25">
      <c r="A54" t="s">
        <v>290</v>
      </c>
      <c r="B54" t="s">
        <v>207</v>
      </c>
      <c r="C54" t="s">
        <v>1261</v>
      </c>
      <c r="D54" t="s">
        <v>160</v>
      </c>
      <c r="E54" t="s">
        <v>1262</v>
      </c>
      <c r="F54">
        <v>28</v>
      </c>
      <c r="J54" t="s">
        <v>1263</v>
      </c>
      <c r="K54" t="s">
        <v>1304</v>
      </c>
    </row>
    <row r="55" spans="1:11" x14ac:dyDescent="0.25">
      <c r="A55" t="s">
        <v>291</v>
      </c>
      <c r="B55" t="s">
        <v>203</v>
      </c>
      <c r="C55" t="s">
        <v>1261</v>
      </c>
      <c r="D55" t="s">
        <v>160</v>
      </c>
      <c r="E55" t="s">
        <v>1262</v>
      </c>
      <c r="F55">
        <v>75</v>
      </c>
      <c r="J55" t="s">
        <v>1263</v>
      </c>
      <c r="K55" t="s">
        <v>1305</v>
      </c>
    </row>
    <row r="56" spans="1:11" x14ac:dyDescent="0.25">
      <c r="A56" t="s">
        <v>293</v>
      </c>
      <c r="B56" t="s">
        <v>292</v>
      </c>
      <c r="C56" t="s">
        <v>1261</v>
      </c>
      <c r="D56" t="s">
        <v>160</v>
      </c>
      <c r="E56" t="s">
        <v>1262</v>
      </c>
      <c r="F56">
        <v>68</v>
      </c>
      <c r="J56" t="s">
        <v>1263</v>
      </c>
      <c r="K56" t="s">
        <v>1305</v>
      </c>
    </row>
    <row r="57" spans="1:11" x14ac:dyDescent="0.25">
      <c r="A57" t="s">
        <v>294</v>
      </c>
      <c r="B57" t="s">
        <v>226</v>
      </c>
      <c r="C57" t="s">
        <v>1261</v>
      </c>
      <c r="D57" t="s">
        <v>160</v>
      </c>
      <c r="E57" t="s">
        <v>1262</v>
      </c>
      <c r="F57">
        <v>45</v>
      </c>
      <c r="J57" t="s">
        <v>1263</v>
      </c>
      <c r="K57" t="s">
        <v>1306</v>
      </c>
    </row>
    <row r="58" spans="1:11" x14ac:dyDescent="0.25">
      <c r="A58" t="s">
        <v>297</v>
      </c>
      <c r="B58" t="s">
        <v>226</v>
      </c>
      <c r="C58" t="s">
        <v>1261</v>
      </c>
      <c r="D58" t="s">
        <v>160</v>
      </c>
      <c r="E58" t="s">
        <v>1262</v>
      </c>
      <c r="F58">
        <v>35</v>
      </c>
      <c r="J58" t="s">
        <v>1263</v>
      </c>
      <c r="K58" t="s">
        <v>1307</v>
      </c>
    </row>
    <row r="59" spans="1:11" x14ac:dyDescent="0.25">
      <c r="A59" t="s">
        <v>298</v>
      </c>
      <c r="B59" t="s">
        <v>226</v>
      </c>
      <c r="C59" t="s">
        <v>1261</v>
      </c>
      <c r="D59" t="s">
        <v>160</v>
      </c>
      <c r="E59" t="s">
        <v>1262</v>
      </c>
      <c r="F59">
        <v>40</v>
      </c>
      <c r="J59" t="s">
        <v>1263</v>
      </c>
      <c r="K59" t="s">
        <v>1308</v>
      </c>
    </row>
    <row r="60" spans="1:11" x14ac:dyDescent="0.25">
      <c r="A60" t="s">
        <v>299</v>
      </c>
      <c r="B60" t="s">
        <v>226</v>
      </c>
      <c r="C60" t="s">
        <v>1261</v>
      </c>
      <c r="D60" t="s">
        <v>160</v>
      </c>
      <c r="E60" t="s">
        <v>1262</v>
      </c>
      <c r="F60">
        <v>12</v>
      </c>
      <c r="J60" t="s">
        <v>1263</v>
      </c>
      <c r="K60" t="s">
        <v>1309</v>
      </c>
    </row>
    <row r="61" spans="1:11" x14ac:dyDescent="0.25">
      <c r="A61" t="s">
        <v>300</v>
      </c>
      <c r="B61" t="s">
        <v>226</v>
      </c>
      <c r="C61" t="s">
        <v>1261</v>
      </c>
      <c r="D61" t="s">
        <v>160</v>
      </c>
      <c r="E61" t="s">
        <v>1262</v>
      </c>
      <c r="F61">
        <v>12</v>
      </c>
      <c r="J61" t="s">
        <v>1263</v>
      </c>
      <c r="K61" t="s">
        <v>1309</v>
      </c>
    </row>
    <row r="62" spans="1:11" x14ac:dyDescent="0.25">
      <c r="A62" t="s">
        <v>302</v>
      </c>
      <c r="B62" t="s">
        <v>301</v>
      </c>
      <c r="C62" t="s">
        <v>1261</v>
      </c>
      <c r="D62" t="s">
        <v>160</v>
      </c>
      <c r="E62" t="s">
        <v>1262</v>
      </c>
      <c r="F62">
        <v>22</v>
      </c>
      <c r="J62" t="s">
        <v>1263</v>
      </c>
      <c r="K62" t="s">
        <v>1302</v>
      </c>
    </row>
    <row r="63" spans="1:11" x14ac:dyDescent="0.25">
      <c r="A63" t="s">
        <v>303</v>
      </c>
      <c r="B63" t="s">
        <v>226</v>
      </c>
      <c r="C63" t="s">
        <v>1261</v>
      </c>
      <c r="D63" t="s">
        <v>160</v>
      </c>
      <c r="E63" t="s">
        <v>1262</v>
      </c>
      <c r="F63">
        <v>20</v>
      </c>
      <c r="J63" t="s">
        <v>1263</v>
      </c>
      <c r="K63" t="s">
        <v>1310</v>
      </c>
    </row>
    <row r="64" spans="1:11" x14ac:dyDescent="0.25">
      <c r="A64" t="s">
        <v>304</v>
      </c>
      <c r="B64" t="s">
        <v>257</v>
      </c>
      <c r="C64" t="s">
        <v>1261</v>
      </c>
      <c r="D64" t="s">
        <v>160</v>
      </c>
      <c r="E64" t="s">
        <v>1262</v>
      </c>
      <c r="F64">
        <v>32</v>
      </c>
      <c r="J64" t="s">
        <v>1263</v>
      </c>
      <c r="K64" t="s">
        <v>1299</v>
      </c>
    </row>
    <row r="65" spans="1:11" x14ac:dyDescent="0.25">
      <c r="A65" t="s">
        <v>306</v>
      </c>
      <c r="B65" t="s">
        <v>305</v>
      </c>
      <c r="C65" t="s">
        <v>1261</v>
      </c>
      <c r="D65" t="s">
        <v>160</v>
      </c>
      <c r="E65" t="s">
        <v>1262</v>
      </c>
      <c r="F65">
        <v>10</v>
      </c>
      <c r="J65" t="s">
        <v>1263</v>
      </c>
      <c r="K65" t="s">
        <v>1311</v>
      </c>
    </row>
    <row r="66" spans="1:11" x14ac:dyDescent="0.25">
      <c r="A66" t="s">
        <v>307</v>
      </c>
      <c r="B66" t="s">
        <v>203</v>
      </c>
      <c r="C66" t="s">
        <v>1261</v>
      </c>
      <c r="D66" t="s">
        <v>160</v>
      </c>
      <c r="E66" t="s">
        <v>1262</v>
      </c>
      <c r="F66">
        <v>75</v>
      </c>
      <c r="J66" t="s">
        <v>1263</v>
      </c>
      <c r="K66" t="s">
        <v>1308</v>
      </c>
    </row>
    <row r="67" spans="1:11" x14ac:dyDescent="0.25">
      <c r="A67" t="s">
        <v>310</v>
      </c>
      <c r="B67" t="s">
        <v>309</v>
      </c>
      <c r="C67" t="s">
        <v>1261</v>
      </c>
      <c r="D67" t="s">
        <v>160</v>
      </c>
      <c r="E67" t="s">
        <v>1262</v>
      </c>
      <c r="F67">
        <v>30</v>
      </c>
      <c r="J67" t="s">
        <v>1263</v>
      </c>
      <c r="K67" t="s">
        <v>1312</v>
      </c>
    </row>
    <row r="68" spans="1:11" x14ac:dyDescent="0.25">
      <c r="A68" t="s">
        <v>312</v>
      </c>
      <c r="B68" t="s">
        <v>311</v>
      </c>
      <c r="C68" t="s">
        <v>1261</v>
      </c>
      <c r="D68" t="s">
        <v>160</v>
      </c>
      <c r="E68" t="s">
        <v>1262</v>
      </c>
      <c r="F68">
        <v>28</v>
      </c>
      <c r="J68" t="s">
        <v>1263</v>
      </c>
      <c r="K68" t="s">
        <v>1299</v>
      </c>
    </row>
    <row r="69" spans="1:11" x14ac:dyDescent="0.25">
      <c r="A69" t="s">
        <v>314</v>
      </c>
      <c r="B69" t="s">
        <v>313</v>
      </c>
      <c r="C69" t="s">
        <v>1261</v>
      </c>
      <c r="D69" t="s">
        <v>160</v>
      </c>
      <c r="E69" t="s">
        <v>1262</v>
      </c>
      <c r="F69">
        <v>150</v>
      </c>
      <c r="J69" t="s">
        <v>1263</v>
      </c>
      <c r="K69" t="s">
        <v>1299</v>
      </c>
    </row>
    <row r="70" spans="1:11" x14ac:dyDescent="0.25">
      <c r="A70" t="s">
        <v>317</v>
      </c>
      <c r="B70" t="s">
        <v>316</v>
      </c>
      <c r="C70" t="s">
        <v>1261</v>
      </c>
      <c r="D70" t="s">
        <v>160</v>
      </c>
      <c r="E70" t="s">
        <v>1262</v>
      </c>
      <c r="F70">
        <v>100</v>
      </c>
      <c r="J70" t="s">
        <v>1263</v>
      </c>
      <c r="K70" t="s">
        <v>1313</v>
      </c>
    </row>
    <row r="71" spans="1:11" x14ac:dyDescent="0.25">
      <c r="A71" t="s">
        <v>319</v>
      </c>
      <c r="B71" t="s">
        <v>318</v>
      </c>
      <c r="C71" t="s">
        <v>1261</v>
      </c>
      <c r="D71" t="s">
        <v>160</v>
      </c>
      <c r="E71" t="s">
        <v>1262</v>
      </c>
      <c r="F71">
        <v>120</v>
      </c>
      <c r="J71" t="s">
        <v>1263</v>
      </c>
      <c r="K71" t="s">
        <v>1314</v>
      </c>
    </row>
    <row r="72" spans="1:11" x14ac:dyDescent="0.25">
      <c r="A72" t="s">
        <v>321</v>
      </c>
      <c r="B72" t="s">
        <v>320</v>
      </c>
      <c r="C72" t="s">
        <v>1261</v>
      </c>
      <c r="D72" t="s">
        <v>160</v>
      </c>
      <c r="E72" t="s">
        <v>1262</v>
      </c>
      <c r="F72">
        <v>150</v>
      </c>
      <c r="J72" t="s">
        <v>1263</v>
      </c>
      <c r="K72" t="s">
        <v>1315</v>
      </c>
    </row>
    <row r="73" spans="1:11" x14ac:dyDescent="0.25">
      <c r="A73" t="s">
        <v>324</v>
      </c>
      <c r="B73" t="s">
        <v>323</v>
      </c>
      <c r="C73" t="s">
        <v>1261</v>
      </c>
      <c r="D73" t="s">
        <v>218</v>
      </c>
      <c r="E73" t="s">
        <v>1262</v>
      </c>
      <c r="F73">
        <v>67</v>
      </c>
      <c r="J73" t="s">
        <v>1263</v>
      </c>
      <c r="K73" t="s">
        <v>1311</v>
      </c>
    </row>
    <row r="74" spans="1:11" x14ac:dyDescent="0.25">
      <c r="A74" t="s">
        <v>326</v>
      </c>
      <c r="B74" t="s">
        <v>325</v>
      </c>
      <c r="C74" t="s">
        <v>1261</v>
      </c>
      <c r="D74" t="s">
        <v>160</v>
      </c>
      <c r="E74" t="s">
        <v>1262</v>
      </c>
      <c r="F74">
        <v>55</v>
      </c>
      <c r="J74" t="s">
        <v>1263</v>
      </c>
      <c r="K74" t="s">
        <v>1316</v>
      </c>
    </row>
    <row r="75" spans="1:11" x14ac:dyDescent="0.25">
      <c r="A75" t="s">
        <v>328</v>
      </c>
      <c r="B75" t="s">
        <v>327</v>
      </c>
      <c r="C75" t="s">
        <v>1261</v>
      </c>
      <c r="D75" t="s">
        <v>160</v>
      </c>
      <c r="E75" t="s">
        <v>1262</v>
      </c>
      <c r="F75">
        <v>142.8</v>
      </c>
      <c r="J75" t="s">
        <v>1263</v>
      </c>
      <c r="K75" t="s">
        <v>1317</v>
      </c>
    </row>
    <row r="76" spans="1:11" x14ac:dyDescent="0.25">
      <c r="A76" t="s">
        <v>331</v>
      </c>
      <c r="B76" t="s">
        <v>226</v>
      </c>
      <c r="C76" t="s">
        <v>1261</v>
      </c>
      <c r="D76" t="s">
        <v>160</v>
      </c>
      <c r="E76" t="s">
        <v>1262</v>
      </c>
      <c r="F76">
        <v>55</v>
      </c>
      <c r="J76" t="s">
        <v>1263</v>
      </c>
      <c r="K76" t="s">
        <v>1282</v>
      </c>
    </row>
    <row r="77" spans="1:11" x14ac:dyDescent="0.25">
      <c r="A77" t="s">
        <v>332</v>
      </c>
      <c r="B77" t="s">
        <v>203</v>
      </c>
      <c r="C77" t="s">
        <v>1261</v>
      </c>
      <c r="D77" t="s">
        <v>160</v>
      </c>
      <c r="E77" t="s">
        <v>1262</v>
      </c>
      <c r="F77">
        <v>70</v>
      </c>
      <c r="J77" t="s">
        <v>1263</v>
      </c>
      <c r="K77" t="s">
        <v>1318</v>
      </c>
    </row>
    <row r="78" spans="1:11" x14ac:dyDescent="0.25">
      <c r="A78" t="s">
        <v>333</v>
      </c>
      <c r="B78" t="s">
        <v>203</v>
      </c>
      <c r="C78" t="s">
        <v>1261</v>
      </c>
      <c r="D78" t="s">
        <v>160</v>
      </c>
      <c r="E78" t="s">
        <v>1262</v>
      </c>
      <c r="F78">
        <v>60</v>
      </c>
      <c r="J78" t="s">
        <v>1263</v>
      </c>
      <c r="K78" t="s">
        <v>1319</v>
      </c>
    </row>
    <row r="79" spans="1:11" x14ac:dyDescent="0.25">
      <c r="A79" t="s">
        <v>334</v>
      </c>
      <c r="B79" t="s">
        <v>309</v>
      </c>
      <c r="C79" t="s">
        <v>1261</v>
      </c>
      <c r="D79" t="s">
        <v>160</v>
      </c>
      <c r="E79" t="s">
        <v>1262</v>
      </c>
      <c r="F79">
        <v>35</v>
      </c>
      <c r="J79" t="s">
        <v>1263</v>
      </c>
      <c r="K79" t="s">
        <v>1320</v>
      </c>
    </row>
    <row r="80" spans="1:11" x14ac:dyDescent="0.25">
      <c r="A80" t="s">
        <v>335</v>
      </c>
      <c r="B80" t="s">
        <v>309</v>
      </c>
      <c r="C80" t="s">
        <v>1261</v>
      </c>
      <c r="D80" t="s">
        <v>160</v>
      </c>
      <c r="E80" t="s">
        <v>1262</v>
      </c>
      <c r="F80">
        <v>20</v>
      </c>
      <c r="J80" t="s">
        <v>1263</v>
      </c>
      <c r="K80" t="s">
        <v>1321</v>
      </c>
    </row>
    <row r="81" spans="1:11" x14ac:dyDescent="0.25">
      <c r="A81" t="s">
        <v>339</v>
      </c>
      <c r="B81" t="s">
        <v>338</v>
      </c>
      <c r="C81" t="s">
        <v>1261</v>
      </c>
      <c r="D81" t="s">
        <v>243</v>
      </c>
      <c r="E81" t="s">
        <v>1262</v>
      </c>
      <c r="F81">
        <v>12</v>
      </c>
      <c r="J81" t="s">
        <v>1263</v>
      </c>
      <c r="K81" t="s">
        <v>1290</v>
      </c>
    </row>
    <row r="82" spans="1:11" x14ac:dyDescent="0.25">
      <c r="A82" t="s">
        <v>340</v>
      </c>
      <c r="B82" t="s">
        <v>309</v>
      </c>
      <c r="C82" t="s">
        <v>1261</v>
      </c>
      <c r="D82" t="s">
        <v>160</v>
      </c>
      <c r="E82" t="s">
        <v>1262</v>
      </c>
      <c r="F82">
        <v>55</v>
      </c>
      <c r="J82" t="s">
        <v>1263</v>
      </c>
      <c r="K82" t="s">
        <v>1301</v>
      </c>
    </row>
    <row r="83" spans="1:11" x14ac:dyDescent="0.25">
      <c r="A83" t="s">
        <v>342</v>
      </c>
      <c r="B83" t="s">
        <v>309</v>
      </c>
      <c r="C83" t="s">
        <v>1261</v>
      </c>
      <c r="D83" t="s">
        <v>160</v>
      </c>
      <c r="E83" t="s">
        <v>1262</v>
      </c>
      <c r="F83">
        <v>50</v>
      </c>
      <c r="J83" t="s">
        <v>1263</v>
      </c>
      <c r="K83" t="s">
        <v>1301</v>
      </c>
    </row>
    <row r="84" spans="1:11" x14ac:dyDescent="0.25">
      <c r="A84" t="s">
        <v>345</v>
      </c>
      <c r="B84" t="s">
        <v>309</v>
      </c>
      <c r="C84" t="s">
        <v>1261</v>
      </c>
      <c r="D84" t="s">
        <v>160</v>
      </c>
      <c r="E84" t="s">
        <v>1262</v>
      </c>
      <c r="F84">
        <v>45</v>
      </c>
      <c r="J84" t="s">
        <v>1263</v>
      </c>
      <c r="K84" t="s">
        <v>1301</v>
      </c>
    </row>
    <row r="85" spans="1:11" x14ac:dyDescent="0.25">
      <c r="A85" t="s">
        <v>347</v>
      </c>
      <c r="B85" t="s">
        <v>309</v>
      </c>
      <c r="C85" t="s">
        <v>1261</v>
      </c>
      <c r="D85" t="s">
        <v>160</v>
      </c>
      <c r="E85" t="s">
        <v>1262</v>
      </c>
      <c r="F85">
        <v>35</v>
      </c>
      <c r="J85" t="s">
        <v>1263</v>
      </c>
      <c r="K85" t="s">
        <v>1322</v>
      </c>
    </row>
    <row r="86" spans="1:11" x14ac:dyDescent="0.25">
      <c r="A86" t="s">
        <v>348</v>
      </c>
      <c r="B86" t="s">
        <v>1291</v>
      </c>
      <c r="C86" t="s">
        <v>1261</v>
      </c>
      <c r="D86" t="s">
        <v>160</v>
      </c>
      <c r="E86" t="s">
        <v>1262</v>
      </c>
      <c r="F86">
        <v>15</v>
      </c>
      <c r="J86" t="s">
        <v>1263</v>
      </c>
      <c r="K86" t="s">
        <v>1321</v>
      </c>
    </row>
    <row r="87" spans="1:11" x14ac:dyDescent="0.25">
      <c r="A87" t="s">
        <v>350</v>
      </c>
      <c r="B87" t="s">
        <v>309</v>
      </c>
      <c r="C87" t="s">
        <v>1261</v>
      </c>
      <c r="D87" t="s">
        <v>160</v>
      </c>
      <c r="E87" t="s">
        <v>1262</v>
      </c>
      <c r="F87">
        <v>40.5</v>
      </c>
      <c r="J87" t="s">
        <v>1263</v>
      </c>
      <c r="K87" t="s">
        <v>1323</v>
      </c>
    </row>
    <row r="88" spans="1:11" x14ac:dyDescent="0.25">
      <c r="A88" t="s">
        <v>353</v>
      </c>
      <c r="B88" t="s">
        <v>352</v>
      </c>
      <c r="C88" t="s">
        <v>1261</v>
      </c>
      <c r="D88" t="s">
        <v>160</v>
      </c>
      <c r="E88" t="s">
        <v>1262</v>
      </c>
      <c r="F88">
        <v>42</v>
      </c>
      <c r="J88" t="s">
        <v>1263</v>
      </c>
      <c r="K88" t="s">
        <v>1324</v>
      </c>
    </row>
    <row r="89" spans="1:11" x14ac:dyDescent="0.25">
      <c r="A89" t="s">
        <v>354</v>
      </c>
      <c r="B89" t="s">
        <v>309</v>
      </c>
      <c r="C89" t="s">
        <v>1261</v>
      </c>
      <c r="D89" t="s">
        <v>160</v>
      </c>
      <c r="E89" t="s">
        <v>1262</v>
      </c>
      <c r="F89">
        <v>35</v>
      </c>
      <c r="J89" t="s">
        <v>1263</v>
      </c>
      <c r="K89" t="s">
        <v>1320</v>
      </c>
    </row>
    <row r="90" spans="1:11" x14ac:dyDescent="0.25">
      <c r="A90" t="s">
        <v>357</v>
      </c>
      <c r="B90" t="s">
        <v>356</v>
      </c>
      <c r="C90" t="s">
        <v>1261</v>
      </c>
      <c r="D90" t="s">
        <v>160</v>
      </c>
      <c r="E90" t="s">
        <v>1262</v>
      </c>
      <c r="F90">
        <v>42</v>
      </c>
      <c r="J90" t="s">
        <v>1263</v>
      </c>
      <c r="K90" t="s">
        <v>1324</v>
      </c>
    </row>
    <row r="91" spans="1:11" x14ac:dyDescent="0.25">
      <c r="A91" t="s">
        <v>361</v>
      </c>
      <c r="B91" t="s">
        <v>360</v>
      </c>
      <c r="C91" t="s">
        <v>1261</v>
      </c>
      <c r="D91" t="s">
        <v>160</v>
      </c>
      <c r="E91" t="s">
        <v>1262</v>
      </c>
      <c r="F91">
        <v>32</v>
      </c>
      <c r="J91" t="s">
        <v>1263</v>
      </c>
      <c r="K91" t="s">
        <v>1311</v>
      </c>
    </row>
    <row r="92" spans="1:11" x14ac:dyDescent="0.25">
      <c r="A92" t="s">
        <v>363</v>
      </c>
      <c r="B92" t="s">
        <v>356</v>
      </c>
      <c r="C92" t="s">
        <v>1261</v>
      </c>
      <c r="D92" t="s">
        <v>160</v>
      </c>
      <c r="E92" t="s">
        <v>1262</v>
      </c>
      <c r="F92">
        <v>29</v>
      </c>
      <c r="J92" t="s">
        <v>1263</v>
      </c>
      <c r="K92" t="s">
        <v>1325</v>
      </c>
    </row>
    <row r="93" spans="1:11" x14ac:dyDescent="0.25">
      <c r="A93" t="s">
        <v>365</v>
      </c>
      <c r="B93" t="s">
        <v>364</v>
      </c>
      <c r="C93" t="s">
        <v>1261</v>
      </c>
      <c r="D93" t="s">
        <v>160</v>
      </c>
      <c r="E93" t="s">
        <v>1262</v>
      </c>
      <c r="F93">
        <v>89</v>
      </c>
      <c r="J93" t="s">
        <v>1263</v>
      </c>
      <c r="K93" t="s">
        <v>1323</v>
      </c>
    </row>
    <row r="94" spans="1:11" x14ac:dyDescent="0.25">
      <c r="A94" t="s">
        <v>367</v>
      </c>
      <c r="B94" t="s">
        <v>366</v>
      </c>
      <c r="C94" t="s">
        <v>1261</v>
      </c>
      <c r="D94" t="s">
        <v>160</v>
      </c>
      <c r="E94" t="s">
        <v>1262</v>
      </c>
      <c r="F94">
        <v>89</v>
      </c>
      <c r="J94" t="s">
        <v>1263</v>
      </c>
      <c r="K94" t="s">
        <v>1323</v>
      </c>
    </row>
    <row r="95" spans="1:11" x14ac:dyDescent="0.25">
      <c r="A95" t="s">
        <v>369</v>
      </c>
      <c r="B95" t="s">
        <v>368</v>
      </c>
      <c r="C95" t="s">
        <v>1261</v>
      </c>
      <c r="D95" t="s">
        <v>160</v>
      </c>
      <c r="E95" t="s">
        <v>1262</v>
      </c>
      <c r="F95">
        <v>90</v>
      </c>
      <c r="J95" t="s">
        <v>1263</v>
      </c>
      <c r="K95" t="s">
        <v>1326</v>
      </c>
    </row>
    <row r="96" spans="1:11" x14ac:dyDescent="0.25">
      <c r="A96" t="s">
        <v>371</v>
      </c>
      <c r="B96" t="s">
        <v>370</v>
      </c>
      <c r="C96" t="s">
        <v>1327</v>
      </c>
      <c r="J96" t="s">
        <v>1263</v>
      </c>
    </row>
    <row r="97" spans="1:11" x14ac:dyDescent="0.25">
      <c r="A97" t="s">
        <v>373</v>
      </c>
      <c r="B97" t="s">
        <v>372</v>
      </c>
      <c r="C97" t="s">
        <v>1261</v>
      </c>
      <c r="D97" t="s">
        <v>160</v>
      </c>
      <c r="E97" t="s">
        <v>1262</v>
      </c>
      <c r="F97">
        <v>85.5</v>
      </c>
      <c r="J97" t="s">
        <v>1263</v>
      </c>
      <c r="K97" t="s">
        <v>1328</v>
      </c>
    </row>
    <row r="98" spans="1:11" x14ac:dyDescent="0.25">
      <c r="A98" t="s">
        <v>375</v>
      </c>
      <c r="B98" t="s">
        <v>374</v>
      </c>
      <c r="C98" t="s">
        <v>1261</v>
      </c>
      <c r="D98" t="s">
        <v>160</v>
      </c>
      <c r="E98" t="s">
        <v>1262</v>
      </c>
      <c r="F98">
        <v>48</v>
      </c>
      <c r="J98" t="s">
        <v>1263</v>
      </c>
      <c r="K98" t="s">
        <v>1329</v>
      </c>
    </row>
    <row r="99" spans="1:11" x14ac:dyDescent="0.25">
      <c r="A99" t="s">
        <v>377</v>
      </c>
      <c r="B99" t="s">
        <v>376</v>
      </c>
      <c r="C99" t="s">
        <v>1261</v>
      </c>
      <c r="D99" t="s">
        <v>160</v>
      </c>
      <c r="E99" t="s">
        <v>1262</v>
      </c>
      <c r="F99">
        <v>140</v>
      </c>
      <c r="J99" t="s">
        <v>1263</v>
      </c>
      <c r="K99" t="s">
        <v>1330</v>
      </c>
    </row>
    <row r="100" spans="1:11" x14ac:dyDescent="0.25">
      <c r="A100" t="s">
        <v>381</v>
      </c>
      <c r="B100" t="s">
        <v>380</v>
      </c>
      <c r="C100" t="s">
        <v>1261</v>
      </c>
      <c r="D100" t="s">
        <v>160</v>
      </c>
      <c r="E100" t="s">
        <v>1262</v>
      </c>
      <c r="F100">
        <v>125</v>
      </c>
      <c r="J100" t="s">
        <v>1263</v>
      </c>
      <c r="K100" t="s">
        <v>1331</v>
      </c>
    </row>
    <row r="101" spans="1:11" x14ac:dyDescent="0.25">
      <c r="A101" t="s">
        <v>385</v>
      </c>
      <c r="B101" t="s">
        <v>384</v>
      </c>
      <c r="C101" t="s">
        <v>1261</v>
      </c>
      <c r="D101" t="s">
        <v>160</v>
      </c>
      <c r="E101" t="s">
        <v>1262</v>
      </c>
      <c r="F101">
        <v>80</v>
      </c>
      <c r="J101" t="s">
        <v>1263</v>
      </c>
      <c r="K101" t="s">
        <v>1332</v>
      </c>
    </row>
    <row r="102" spans="1:11" x14ac:dyDescent="0.25">
      <c r="A102" t="s">
        <v>388</v>
      </c>
      <c r="B102" t="s">
        <v>387</v>
      </c>
      <c r="C102" t="s">
        <v>1261</v>
      </c>
      <c r="D102" t="s">
        <v>160</v>
      </c>
      <c r="E102" t="s">
        <v>1262</v>
      </c>
      <c r="F102">
        <v>94.05</v>
      </c>
      <c r="J102" t="s">
        <v>1263</v>
      </c>
      <c r="K102" t="s">
        <v>1333</v>
      </c>
    </row>
    <row r="103" spans="1:11" x14ac:dyDescent="0.25">
      <c r="A103" t="s">
        <v>391</v>
      </c>
      <c r="B103" t="s">
        <v>390</v>
      </c>
      <c r="C103" t="s">
        <v>1261</v>
      </c>
      <c r="D103" t="s">
        <v>160</v>
      </c>
      <c r="E103" t="s">
        <v>1262</v>
      </c>
      <c r="F103">
        <v>85</v>
      </c>
      <c r="J103" t="s">
        <v>1263</v>
      </c>
      <c r="K103" t="s">
        <v>1334</v>
      </c>
    </row>
    <row r="104" spans="1:11" x14ac:dyDescent="0.25">
      <c r="A104" t="s">
        <v>394</v>
      </c>
      <c r="B104" t="s">
        <v>393</v>
      </c>
      <c r="C104" t="s">
        <v>1261</v>
      </c>
      <c r="D104" t="s">
        <v>160</v>
      </c>
      <c r="E104" t="s">
        <v>1262</v>
      </c>
      <c r="F104">
        <v>83.19</v>
      </c>
      <c r="J104" t="s">
        <v>1263</v>
      </c>
      <c r="K104" t="s">
        <v>1335</v>
      </c>
    </row>
    <row r="105" spans="1:11" x14ac:dyDescent="0.25">
      <c r="A105" t="s">
        <v>396</v>
      </c>
      <c r="B105" t="s">
        <v>395</v>
      </c>
      <c r="C105" t="s">
        <v>1261</v>
      </c>
      <c r="D105" t="s">
        <v>160</v>
      </c>
      <c r="E105" t="s">
        <v>1262</v>
      </c>
      <c r="F105">
        <v>70</v>
      </c>
      <c r="J105" t="s">
        <v>1263</v>
      </c>
      <c r="K105" t="s">
        <v>1336</v>
      </c>
    </row>
    <row r="106" spans="1:11" x14ac:dyDescent="0.25">
      <c r="A106" t="s">
        <v>398</v>
      </c>
      <c r="B106" t="s">
        <v>397</v>
      </c>
      <c r="C106" t="s">
        <v>1261</v>
      </c>
      <c r="D106" t="s">
        <v>160</v>
      </c>
      <c r="E106" t="s">
        <v>1262</v>
      </c>
      <c r="F106">
        <v>110</v>
      </c>
      <c r="J106" t="s">
        <v>1263</v>
      </c>
      <c r="K106" t="s">
        <v>1284</v>
      </c>
    </row>
    <row r="107" spans="1:11" x14ac:dyDescent="0.25">
      <c r="A107" t="s">
        <v>399</v>
      </c>
      <c r="B107" t="s">
        <v>305</v>
      </c>
      <c r="C107" t="s">
        <v>1261</v>
      </c>
      <c r="D107" t="s">
        <v>160</v>
      </c>
      <c r="E107" t="s">
        <v>1262</v>
      </c>
      <c r="F107">
        <v>100</v>
      </c>
      <c r="J107" t="s">
        <v>1263</v>
      </c>
      <c r="K107" t="s">
        <v>1337</v>
      </c>
    </row>
    <row r="108" spans="1:11" x14ac:dyDescent="0.25">
      <c r="A108" t="s">
        <v>400</v>
      </c>
      <c r="B108" t="s">
        <v>205</v>
      </c>
      <c r="C108" t="s">
        <v>1261</v>
      </c>
      <c r="D108" t="s">
        <v>160</v>
      </c>
      <c r="E108" t="s">
        <v>1262</v>
      </c>
      <c r="F108">
        <v>85.5</v>
      </c>
      <c r="J108" t="s">
        <v>1263</v>
      </c>
      <c r="K108" t="s">
        <v>1338</v>
      </c>
    </row>
    <row r="109" spans="1:11" x14ac:dyDescent="0.25">
      <c r="A109" t="s">
        <v>401</v>
      </c>
      <c r="B109" t="s">
        <v>168</v>
      </c>
      <c r="C109" t="s">
        <v>1261</v>
      </c>
      <c r="D109" t="s">
        <v>160</v>
      </c>
      <c r="E109" t="s">
        <v>1262</v>
      </c>
      <c r="F109">
        <v>55</v>
      </c>
      <c r="J109" t="s">
        <v>1263</v>
      </c>
      <c r="K109" t="s">
        <v>1325</v>
      </c>
    </row>
    <row r="110" spans="1:11" x14ac:dyDescent="0.25">
      <c r="A110" t="s">
        <v>403</v>
      </c>
      <c r="B110" t="s">
        <v>200</v>
      </c>
      <c r="C110" t="s">
        <v>1261</v>
      </c>
      <c r="D110" t="s">
        <v>160</v>
      </c>
      <c r="E110" t="s">
        <v>1262</v>
      </c>
      <c r="F110">
        <v>35.1</v>
      </c>
      <c r="J110" t="s">
        <v>1263</v>
      </c>
      <c r="K110" t="s">
        <v>1339</v>
      </c>
    </row>
    <row r="111" spans="1:11" x14ac:dyDescent="0.25">
      <c r="A111" t="s">
        <v>405</v>
      </c>
      <c r="B111" t="s">
        <v>404</v>
      </c>
      <c r="C111" t="s">
        <v>1261</v>
      </c>
      <c r="D111" t="s">
        <v>160</v>
      </c>
      <c r="E111" t="s">
        <v>1262</v>
      </c>
      <c r="F111">
        <v>69</v>
      </c>
      <c r="J111" t="s">
        <v>1263</v>
      </c>
      <c r="K111" t="s">
        <v>1340</v>
      </c>
    </row>
    <row r="112" spans="1:11" x14ac:dyDescent="0.25">
      <c r="A112" t="s">
        <v>407</v>
      </c>
      <c r="B112" t="s">
        <v>406</v>
      </c>
      <c r="C112" t="s">
        <v>1261</v>
      </c>
      <c r="D112" t="s">
        <v>160</v>
      </c>
      <c r="E112" t="s">
        <v>1262</v>
      </c>
      <c r="F112">
        <v>142.8</v>
      </c>
      <c r="J112" t="s">
        <v>1263</v>
      </c>
      <c r="K112" t="s">
        <v>1317</v>
      </c>
    </row>
    <row r="113" spans="1:11" x14ac:dyDescent="0.25">
      <c r="A113" t="s">
        <v>410</v>
      </c>
      <c r="B113" t="s">
        <v>409</v>
      </c>
      <c r="C113" t="s">
        <v>1261</v>
      </c>
      <c r="D113" t="s">
        <v>160</v>
      </c>
      <c r="E113" t="s">
        <v>1262</v>
      </c>
      <c r="F113">
        <v>115</v>
      </c>
      <c r="J113" t="s">
        <v>1263</v>
      </c>
      <c r="K113" t="s">
        <v>1341</v>
      </c>
    </row>
    <row r="114" spans="1:11" x14ac:dyDescent="0.25">
      <c r="A114" t="s">
        <v>413</v>
      </c>
      <c r="B114" t="s">
        <v>412</v>
      </c>
      <c r="C114" t="s">
        <v>1261</v>
      </c>
      <c r="D114" t="s">
        <v>160</v>
      </c>
      <c r="E114" t="s">
        <v>1262</v>
      </c>
      <c r="F114">
        <v>65</v>
      </c>
      <c r="J114" t="s">
        <v>1263</v>
      </c>
      <c r="K114" t="s">
        <v>1342</v>
      </c>
    </row>
    <row r="115" spans="1:11" x14ac:dyDescent="0.25">
      <c r="A115" t="s">
        <v>416</v>
      </c>
      <c r="B115" t="s">
        <v>415</v>
      </c>
      <c r="C115" t="s">
        <v>1261</v>
      </c>
      <c r="D115" t="s">
        <v>160</v>
      </c>
      <c r="E115" t="s">
        <v>1262</v>
      </c>
      <c r="F115">
        <v>55</v>
      </c>
      <c r="J115" t="s">
        <v>1263</v>
      </c>
      <c r="K115" t="s">
        <v>1343</v>
      </c>
    </row>
    <row r="116" spans="1:11" x14ac:dyDescent="0.25">
      <c r="A116" t="s">
        <v>419</v>
      </c>
      <c r="B116" t="s">
        <v>418</v>
      </c>
      <c r="C116" t="s">
        <v>1261</v>
      </c>
      <c r="D116" t="s">
        <v>160</v>
      </c>
      <c r="E116" t="s">
        <v>1262</v>
      </c>
      <c r="F116">
        <v>120</v>
      </c>
      <c r="J116" t="s">
        <v>1263</v>
      </c>
      <c r="K116" t="s">
        <v>1344</v>
      </c>
    </row>
    <row r="117" spans="1:11" x14ac:dyDescent="0.25">
      <c r="A117" t="s">
        <v>421</v>
      </c>
      <c r="B117" t="s">
        <v>420</v>
      </c>
      <c r="C117" t="s">
        <v>1261</v>
      </c>
      <c r="D117" t="s">
        <v>160</v>
      </c>
      <c r="E117" t="s">
        <v>1262</v>
      </c>
      <c r="F117">
        <v>116</v>
      </c>
      <c r="J117" t="s">
        <v>1263</v>
      </c>
      <c r="K117" t="s">
        <v>1345</v>
      </c>
    </row>
    <row r="118" spans="1:11" x14ac:dyDescent="0.25">
      <c r="A118" t="s">
        <v>424</v>
      </c>
      <c r="B118" t="s">
        <v>423</v>
      </c>
      <c r="C118" t="s">
        <v>1261</v>
      </c>
      <c r="D118" t="s">
        <v>160</v>
      </c>
      <c r="E118" t="s">
        <v>1262</v>
      </c>
      <c r="F118">
        <v>50</v>
      </c>
      <c r="J118" t="s">
        <v>1263</v>
      </c>
      <c r="K118" t="s">
        <v>1346</v>
      </c>
    </row>
    <row r="119" spans="1:11" x14ac:dyDescent="0.25">
      <c r="A119" t="s">
        <v>427</v>
      </c>
      <c r="B119" t="s">
        <v>426</v>
      </c>
      <c r="C119" t="s">
        <v>1327</v>
      </c>
      <c r="J119" t="s">
        <v>1263</v>
      </c>
    </row>
    <row r="120" spans="1:11" x14ac:dyDescent="0.25">
      <c r="A120" t="s">
        <v>430</v>
      </c>
      <c r="B120" t="s">
        <v>429</v>
      </c>
      <c r="C120" t="s">
        <v>1261</v>
      </c>
      <c r="D120" t="s">
        <v>160</v>
      </c>
      <c r="E120" t="s">
        <v>1262</v>
      </c>
      <c r="F120">
        <v>90</v>
      </c>
      <c r="J120" t="s">
        <v>1263</v>
      </c>
      <c r="K120" t="s">
        <v>1347</v>
      </c>
    </row>
    <row r="121" spans="1:11" x14ac:dyDescent="0.25">
      <c r="A121" t="s">
        <v>434</v>
      </c>
      <c r="B121" t="s">
        <v>433</v>
      </c>
      <c r="C121" t="s">
        <v>1261</v>
      </c>
      <c r="D121" t="s">
        <v>160</v>
      </c>
      <c r="E121" t="s">
        <v>1262</v>
      </c>
      <c r="F121">
        <v>75</v>
      </c>
      <c r="J121" t="s">
        <v>1263</v>
      </c>
      <c r="K121" t="s">
        <v>1348</v>
      </c>
    </row>
    <row r="122" spans="1:11" x14ac:dyDescent="0.25">
      <c r="A122" t="s">
        <v>437</v>
      </c>
      <c r="B122" t="s">
        <v>436</v>
      </c>
      <c r="C122" t="s">
        <v>1261</v>
      </c>
      <c r="D122" t="s">
        <v>160</v>
      </c>
      <c r="E122" t="s">
        <v>1262</v>
      </c>
      <c r="F122">
        <v>70</v>
      </c>
      <c r="J122" t="s">
        <v>1263</v>
      </c>
      <c r="K122" t="s">
        <v>1349</v>
      </c>
    </row>
    <row r="123" spans="1:11" x14ac:dyDescent="0.25">
      <c r="A123" t="s">
        <v>440</v>
      </c>
      <c r="B123" t="s">
        <v>439</v>
      </c>
      <c r="C123" t="s">
        <v>1261</v>
      </c>
      <c r="D123" t="s">
        <v>160</v>
      </c>
      <c r="E123" t="s">
        <v>1262</v>
      </c>
      <c r="F123">
        <v>67.5</v>
      </c>
      <c r="J123" t="s">
        <v>1263</v>
      </c>
      <c r="K123" t="s">
        <v>1350</v>
      </c>
    </row>
    <row r="124" spans="1:11" x14ac:dyDescent="0.25">
      <c r="A124" t="s">
        <v>442</v>
      </c>
      <c r="B124" t="s">
        <v>441</v>
      </c>
      <c r="C124" t="s">
        <v>1261</v>
      </c>
      <c r="D124" t="s">
        <v>160</v>
      </c>
      <c r="E124" t="s">
        <v>1262</v>
      </c>
      <c r="F124">
        <v>115</v>
      </c>
      <c r="J124" t="s">
        <v>1263</v>
      </c>
      <c r="K124" t="s">
        <v>1283</v>
      </c>
    </row>
    <row r="125" spans="1:11" x14ac:dyDescent="0.25">
      <c r="A125" t="s">
        <v>445</v>
      </c>
      <c r="B125" t="s">
        <v>444</v>
      </c>
      <c r="C125" t="s">
        <v>1261</v>
      </c>
      <c r="D125" t="s">
        <v>160</v>
      </c>
      <c r="E125" t="s">
        <v>1262</v>
      </c>
      <c r="F125">
        <v>100</v>
      </c>
      <c r="J125" t="s">
        <v>1263</v>
      </c>
      <c r="K125" t="s">
        <v>1351</v>
      </c>
    </row>
    <row r="126" spans="1:11" x14ac:dyDescent="0.25">
      <c r="A126" t="s">
        <v>447</v>
      </c>
      <c r="B126" t="s">
        <v>446</v>
      </c>
      <c r="C126" t="s">
        <v>1261</v>
      </c>
      <c r="D126" t="s">
        <v>160</v>
      </c>
      <c r="E126" t="s">
        <v>1262</v>
      </c>
      <c r="F126">
        <v>80</v>
      </c>
      <c r="J126" t="s">
        <v>1263</v>
      </c>
      <c r="K126" t="s">
        <v>1352</v>
      </c>
    </row>
    <row r="127" spans="1:11" x14ac:dyDescent="0.25">
      <c r="A127" t="s">
        <v>449</v>
      </c>
      <c r="B127" t="s">
        <v>448</v>
      </c>
      <c r="C127" t="s">
        <v>1261</v>
      </c>
      <c r="D127" t="s">
        <v>160</v>
      </c>
      <c r="E127" t="s">
        <v>1262</v>
      </c>
      <c r="F127">
        <v>66.53</v>
      </c>
      <c r="J127" t="s">
        <v>1263</v>
      </c>
      <c r="K127" t="s">
        <v>1353</v>
      </c>
    </row>
    <row r="128" spans="1:11" x14ac:dyDescent="0.25">
      <c r="A128" t="s">
        <v>450</v>
      </c>
      <c r="B128" t="s">
        <v>309</v>
      </c>
      <c r="C128" t="s">
        <v>1261</v>
      </c>
      <c r="D128" t="s">
        <v>160</v>
      </c>
      <c r="E128" t="s">
        <v>1262</v>
      </c>
      <c r="F128">
        <v>55</v>
      </c>
      <c r="J128" t="s">
        <v>1263</v>
      </c>
      <c r="K128" t="s">
        <v>1354</v>
      </c>
    </row>
    <row r="129" spans="1:11" x14ac:dyDescent="0.25">
      <c r="A129" t="s">
        <v>453</v>
      </c>
      <c r="B129" t="s">
        <v>452</v>
      </c>
      <c r="C129" t="s">
        <v>1261</v>
      </c>
      <c r="D129" t="s">
        <v>160</v>
      </c>
      <c r="E129" t="s">
        <v>1262</v>
      </c>
      <c r="F129">
        <v>110</v>
      </c>
      <c r="J129" t="s">
        <v>1263</v>
      </c>
      <c r="K129" t="s">
        <v>1341</v>
      </c>
    </row>
    <row r="130" spans="1:11" x14ac:dyDescent="0.25">
      <c r="A130" t="s">
        <v>457</v>
      </c>
      <c r="B130" t="s">
        <v>456</v>
      </c>
      <c r="C130" t="s">
        <v>1261</v>
      </c>
      <c r="D130" t="s">
        <v>160</v>
      </c>
      <c r="E130" t="s">
        <v>1262</v>
      </c>
      <c r="F130">
        <v>45</v>
      </c>
      <c r="J130" t="s">
        <v>1263</v>
      </c>
      <c r="K130" t="s">
        <v>1355</v>
      </c>
    </row>
    <row r="131" spans="1:11" x14ac:dyDescent="0.25">
      <c r="A131" t="s">
        <v>460</v>
      </c>
      <c r="B131" t="s">
        <v>459</v>
      </c>
      <c r="C131" t="s">
        <v>1261</v>
      </c>
      <c r="D131" t="s">
        <v>160</v>
      </c>
      <c r="E131" t="s">
        <v>1262</v>
      </c>
      <c r="F131">
        <v>80</v>
      </c>
      <c r="J131" t="s">
        <v>1263</v>
      </c>
      <c r="K131" t="s">
        <v>1356</v>
      </c>
    </row>
    <row r="132" spans="1:11" x14ac:dyDescent="0.25">
      <c r="A132" t="s">
        <v>462</v>
      </c>
      <c r="B132" t="s">
        <v>461</v>
      </c>
      <c r="C132" t="s">
        <v>1261</v>
      </c>
      <c r="D132" t="s">
        <v>160</v>
      </c>
      <c r="E132" t="s">
        <v>1262</v>
      </c>
      <c r="F132">
        <v>124</v>
      </c>
      <c r="J132" t="s">
        <v>1263</v>
      </c>
      <c r="K132" t="s">
        <v>1357</v>
      </c>
    </row>
    <row r="133" spans="1:11" x14ac:dyDescent="0.25">
      <c r="A133" t="s">
        <v>465</v>
      </c>
      <c r="B133" t="s">
        <v>464</v>
      </c>
      <c r="C133" t="s">
        <v>1261</v>
      </c>
      <c r="D133" t="s">
        <v>160</v>
      </c>
      <c r="E133" t="s">
        <v>1262</v>
      </c>
      <c r="F133">
        <v>71.25</v>
      </c>
      <c r="J133" t="s">
        <v>1263</v>
      </c>
      <c r="K133" t="s">
        <v>1333</v>
      </c>
    </row>
    <row r="134" spans="1:11" x14ac:dyDescent="0.25">
      <c r="A134" t="s">
        <v>467</v>
      </c>
      <c r="B134" t="s">
        <v>466</v>
      </c>
      <c r="C134" t="s">
        <v>1261</v>
      </c>
      <c r="D134" t="s">
        <v>160</v>
      </c>
      <c r="E134" t="s">
        <v>1262</v>
      </c>
      <c r="F134">
        <v>45</v>
      </c>
      <c r="J134" t="s">
        <v>1263</v>
      </c>
      <c r="K134" t="s">
        <v>1358</v>
      </c>
    </row>
    <row r="135" spans="1:11" x14ac:dyDescent="0.25">
      <c r="A135" t="s">
        <v>468</v>
      </c>
      <c r="B135" t="s">
        <v>466</v>
      </c>
      <c r="C135" t="s">
        <v>1261</v>
      </c>
      <c r="D135" t="s">
        <v>160</v>
      </c>
      <c r="E135" t="s">
        <v>1262</v>
      </c>
      <c r="F135">
        <v>45</v>
      </c>
      <c r="J135" t="s">
        <v>1263</v>
      </c>
      <c r="K135" t="s">
        <v>1358</v>
      </c>
    </row>
    <row r="136" spans="1:11" x14ac:dyDescent="0.25">
      <c r="A136" t="s">
        <v>469</v>
      </c>
      <c r="B136" t="s">
        <v>466</v>
      </c>
      <c r="C136" t="s">
        <v>1261</v>
      </c>
      <c r="D136" t="s">
        <v>160</v>
      </c>
      <c r="E136" t="s">
        <v>1262</v>
      </c>
      <c r="F136">
        <v>45</v>
      </c>
      <c r="J136" t="s">
        <v>1263</v>
      </c>
      <c r="K136" t="s">
        <v>1358</v>
      </c>
    </row>
    <row r="137" spans="1:11" x14ac:dyDescent="0.25">
      <c r="A137" t="s">
        <v>471</v>
      </c>
      <c r="B137" t="s">
        <v>470</v>
      </c>
      <c r="C137" t="s">
        <v>1261</v>
      </c>
      <c r="D137" t="s">
        <v>160</v>
      </c>
      <c r="E137" t="s">
        <v>1262</v>
      </c>
      <c r="F137">
        <v>55</v>
      </c>
      <c r="J137" t="s">
        <v>1263</v>
      </c>
      <c r="K137" t="s">
        <v>1359</v>
      </c>
    </row>
    <row r="138" spans="1:11" x14ac:dyDescent="0.25">
      <c r="A138" t="s">
        <v>473</v>
      </c>
      <c r="B138" t="s">
        <v>472</v>
      </c>
      <c r="C138" t="s">
        <v>1261</v>
      </c>
      <c r="D138" t="s">
        <v>160</v>
      </c>
      <c r="E138" t="s">
        <v>1262</v>
      </c>
      <c r="F138">
        <v>150</v>
      </c>
      <c r="J138" t="s">
        <v>1263</v>
      </c>
      <c r="K138" t="s">
        <v>1360</v>
      </c>
    </row>
    <row r="139" spans="1:11" x14ac:dyDescent="0.25">
      <c r="A139" t="s">
        <v>475</v>
      </c>
      <c r="B139" t="s">
        <v>474</v>
      </c>
      <c r="C139" t="s">
        <v>1261</v>
      </c>
      <c r="D139" t="s">
        <v>160</v>
      </c>
      <c r="E139" t="s">
        <v>1262</v>
      </c>
      <c r="F139">
        <v>140</v>
      </c>
      <c r="J139" t="s">
        <v>1263</v>
      </c>
      <c r="K139" t="s">
        <v>1361</v>
      </c>
    </row>
    <row r="140" spans="1:11" x14ac:dyDescent="0.25">
      <c r="A140" t="s">
        <v>478</v>
      </c>
      <c r="B140" t="s">
        <v>477</v>
      </c>
      <c r="C140" t="s">
        <v>1261</v>
      </c>
      <c r="D140" t="s">
        <v>160</v>
      </c>
      <c r="E140" t="s">
        <v>1262</v>
      </c>
      <c r="F140">
        <v>128</v>
      </c>
      <c r="J140" t="s">
        <v>1263</v>
      </c>
      <c r="K140" t="s">
        <v>1284</v>
      </c>
    </row>
    <row r="141" spans="1:11" x14ac:dyDescent="0.25">
      <c r="A141" t="s">
        <v>480</v>
      </c>
      <c r="B141" t="s">
        <v>479</v>
      </c>
      <c r="C141" t="s">
        <v>1261</v>
      </c>
      <c r="D141" t="s">
        <v>160</v>
      </c>
      <c r="E141" t="s">
        <v>1262</v>
      </c>
      <c r="F141">
        <v>45</v>
      </c>
      <c r="J141" t="s">
        <v>1263</v>
      </c>
      <c r="K141" t="s">
        <v>1284</v>
      </c>
    </row>
    <row r="142" spans="1:11" x14ac:dyDescent="0.25">
      <c r="A142" t="s">
        <v>481</v>
      </c>
      <c r="B142" t="s">
        <v>168</v>
      </c>
      <c r="C142" t="s">
        <v>1261</v>
      </c>
      <c r="D142" t="s">
        <v>160</v>
      </c>
      <c r="E142" t="s">
        <v>1262</v>
      </c>
      <c r="F142">
        <v>55</v>
      </c>
      <c r="J142" t="s">
        <v>1263</v>
      </c>
      <c r="K142" t="s">
        <v>1362</v>
      </c>
    </row>
    <row r="143" spans="1:11" x14ac:dyDescent="0.25">
      <c r="A143" t="s">
        <v>482</v>
      </c>
      <c r="B143" t="s">
        <v>203</v>
      </c>
      <c r="C143" t="s">
        <v>1261</v>
      </c>
      <c r="D143" t="s">
        <v>160</v>
      </c>
      <c r="E143" t="s">
        <v>1262</v>
      </c>
      <c r="F143">
        <v>55</v>
      </c>
      <c r="J143" t="s">
        <v>1263</v>
      </c>
      <c r="K143" t="s">
        <v>1363</v>
      </c>
    </row>
    <row r="144" spans="1:11" x14ac:dyDescent="0.25">
      <c r="A144" t="s">
        <v>483</v>
      </c>
      <c r="B144" t="s">
        <v>168</v>
      </c>
      <c r="C144" t="s">
        <v>1261</v>
      </c>
      <c r="D144" t="s">
        <v>160</v>
      </c>
      <c r="E144" t="s">
        <v>1262</v>
      </c>
      <c r="F144">
        <v>50</v>
      </c>
      <c r="J144" t="s">
        <v>1263</v>
      </c>
      <c r="K144" t="s">
        <v>1348</v>
      </c>
    </row>
    <row r="145" spans="1:11" x14ac:dyDescent="0.25">
      <c r="A145" t="s">
        <v>484</v>
      </c>
      <c r="B145" t="s">
        <v>309</v>
      </c>
      <c r="C145" t="s">
        <v>1261</v>
      </c>
      <c r="D145" t="s">
        <v>160</v>
      </c>
      <c r="E145" t="s">
        <v>1262</v>
      </c>
      <c r="F145">
        <v>59</v>
      </c>
      <c r="J145" t="s">
        <v>1263</v>
      </c>
      <c r="K145" t="s">
        <v>1357</v>
      </c>
    </row>
    <row r="146" spans="1:11" x14ac:dyDescent="0.25">
      <c r="A146" t="s">
        <v>485</v>
      </c>
      <c r="B146" t="s">
        <v>203</v>
      </c>
      <c r="C146" t="s">
        <v>1327</v>
      </c>
      <c r="J146" t="s">
        <v>1263</v>
      </c>
    </row>
    <row r="147" spans="1:11" x14ac:dyDescent="0.25">
      <c r="A147" t="s">
        <v>487</v>
      </c>
      <c r="B147" t="s">
        <v>486</v>
      </c>
      <c r="C147" t="s">
        <v>1261</v>
      </c>
      <c r="D147" t="s">
        <v>160</v>
      </c>
      <c r="E147" t="s">
        <v>1262</v>
      </c>
      <c r="F147">
        <v>70</v>
      </c>
      <c r="J147" t="s">
        <v>1263</v>
      </c>
      <c r="K147" t="s">
        <v>1349</v>
      </c>
    </row>
    <row r="148" spans="1:11" x14ac:dyDescent="0.25">
      <c r="A148" t="s">
        <v>491</v>
      </c>
      <c r="B148" t="s">
        <v>490</v>
      </c>
      <c r="C148" t="s">
        <v>1261</v>
      </c>
      <c r="D148" t="s">
        <v>160</v>
      </c>
      <c r="E148" t="s">
        <v>1262</v>
      </c>
      <c r="F148">
        <v>85</v>
      </c>
      <c r="J148" t="s">
        <v>1263</v>
      </c>
      <c r="K148" t="s">
        <v>1351</v>
      </c>
    </row>
    <row r="149" spans="1:11" x14ac:dyDescent="0.25">
      <c r="A149" t="s">
        <v>493</v>
      </c>
      <c r="B149" t="s">
        <v>492</v>
      </c>
      <c r="C149" t="s">
        <v>1327</v>
      </c>
      <c r="J149" t="s">
        <v>1263</v>
      </c>
    </row>
    <row r="150" spans="1:11" x14ac:dyDescent="0.25">
      <c r="A150" t="s">
        <v>495</v>
      </c>
      <c r="B150" t="s">
        <v>494</v>
      </c>
      <c r="C150" t="s">
        <v>1261</v>
      </c>
      <c r="D150" t="s">
        <v>160</v>
      </c>
      <c r="E150" t="s">
        <v>1262</v>
      </c>
      <c r="F150">
        <v>69</v>
      </c>
      <c r="J150" t="s">
        <v>1263</v>
      </c>
      <c r="K150" t="s">
        <v>1364</v>
      </c>
    </row>
    <row r="151" spans="1:11" x14ac:dyDescent="0.25">
      <c r="A151" t="s">
        <v>497</v>
      </c>
      <c r="B151" t="s">
        <v>496</v>
      </c>
      <c r="C151" t="s">
        <v>1261</v>
      </c>
      <c r="D151" t="s">
        <v>160</v>
      </c>
      <c r="E151" t="s">
        <v>1262</v>
      </c>
      <c r="F151">
        <v>125</v>
      </c>
      <c r="J151" t="s">
        <v>1263</v>
      </c>
      <c r="K151" t="s">
        <v>1365</v>
      </c>
    </row>
    <row r="152" spans="1:11" x14ac:dyDescent="0.25">
      <c r="A152" t="s">
        <v>501</v>
      </c>
      <c r="B152" t="s">
        <v>500</v>
      </c>
      <c r="C152" t="s">
        <v>1327</v>
      </c>
      <c r="J152" t="s">
        <v>1263</v>
      </c>
    </row>
    <row r="153" spans="1:11" x14ac:dyDescent="0.25">
      <c r="A153" t="s">
        <v>504</v>
      </c>
      <c r="B153" t="s">
        <v>503</v>
      </c>
      <c r="C153" t="s">
        <v>1327</v>
      </c>
      <c r="J153" t="s">
        <v>1263</v>
      </c>
    </row>
    <row r="154" spans="1:11" x14ac:dyDescent="0.25">
      <c r="A154" t="s">
        <v>506</v>
      </c>
      <c r="B154" t="s">
        <v>505</v>
      </c>
      <c r="C154" t="s">
        <v>1261</v>
      </c>
      <c r="D154" t="s">
        <v>160</v>
      </c>
      <c r="E154" t="s">
        <v>1262</v>
      </c>
      <c r="F154">
        <v>67.55</v>
      </c>
      <c r="J154" t="s">
        <v>1263</v>
      </c>
      <c r="K154" t="s">
        <v>1366</v>
      </c>
    </row>
    <row r="155" spans="1:11" x14ac:dyDescent="0.25">
      <c r="A155" t="s">
        <v>508</v>
      </c>
      <c r="B155" t="s">
        <v>507</v>
      </c>
      <c r="C155" t="s">
        <v>1261</v>
      </c>
      <c r="D155" t="s">
        <v>160</v>
      </c>
      <c r="E155" t="s">
        <v>1262</v>
      </c>
      <c r="F155">
        <v>75</v>
      </c>
      <c r="J155" t="s">
        <v>1263</v>
      </c>
      <c r="K155" t="s">
        <v>1367</v>
      </c>
    </row>
    <row r="156" spans="1:11" x14ac:dyDescent="0.25">
      <c r="A156" t="s">
        <v>511</v>
      </c>
      <c r="B156" t="s">
        <v>510</v>
      </c>
      <c r="C156" t="s">
        <v>1261</v>
      </c>
      <c r="D156" t="s">
        <v>160</v>
      </c>
      <c r="E156" t="s">
        <v>1262</v>
      </c>
      <c r="F156">
        <v>65</v>
      </c>
      <c r="J156" t="s">
        <v>1263</v>
      </c>
      <c r="K156" t="s">
        <v>1368</v>
      </c>
    </row>
    <row r="157" spans="1:11" x14ac:dyDescent="0.25">
      <c r="A157" t="s">
        <v>513</v>
      </c>
      <c r="B157" t="s">
        <v>512</v>
      </c>
      <c r="C157" t="s">
        <v>1261</v>
      </c>
      <c r="D157" t="s">
        <v>160</v>
      </c>
      <c r="E157" t="s">
        <v>1262</v>
      </c>
      <c r="F157">
        <v>80</v>
      </c>
      <c r="J157" t="s">
        <v>1263</v>
      </c>
      <c r="K157" t="s">
        <v>1369</v>
      </c>
    </row>
    <row r="158" spans="1:11" x14ac:dyDescent="0.25">
      <c r="A158" t="s">
        <v>515</v>
      </c>
      <c r="B158" t="s">
        <v>514</v>
      </c>
      <c r="C158" t="s">
        <v>1261</v>
      </c>
      <c r="D158" t="s">
        <v>160</v>
      </c>
      <c r="E158" t="s">
        <v>1262</v>
      </c>
      <c r="F158">
        <v>110</v>
      </c>
      <c r="J158" t="s">
        <v>1263</v>
      </c>
      <c r="K158" t="s">
        <v>1370</v>
      </c>
    </row>
    <row r="159" spans="1:11" x14ac:dyDescent="0.25">
      <c r="A159" t="s">
        <v>517</v>
      </c>
      <c r="B159" t="s">
        <v>516</v>
      </c>
      <c r="C159" t="s">
        <v>1327</v>
      </c>
      <c r="J159" t="s">
        <v>1263</v>
      </c>
    </row>
    <row r="160" spans="1:11" x14ac:dyDescent="0.25">
      <c r="A160" t="s">
        <v>520</v>
      </c>
      <c r="B160" t="s">
        <v>519</v>
      </c>
      <c r="C160" t="s">
        <v>1327</v>
      </c>
      <c r="J160" t="s">
        <v>1263</v>
      </c>
    </row>
    <row r="161" spans="1:11" x14ac:dyDescent="0.25">
      <c r="A161" t="s">
        <v>522</v>
      </c>
      <c r="B161" t="s">
        <v>521</v>
      </c>
      <c r="C161" t="s">
        <v>1261</v>
      </c>
      <c r="D161" t="s">
        <v>160</v>
      </c>
      <c r="E161" t="s">
        <v>1262</v>
      </c>
      <c r="F161">
        <v>65</v>
      </c>
      <c r="J161" t="s">
        <v>1263</v>
      </c>
      <c r="K161" t="s">
        <v>1359</v>
      </c>
    </row>
    <row r="162" spans="1:11" x14ac:dyDescent="0.25">
      <c r="A162" t="s">
        <v>524</v>
      </c>
      <c r="B162" t="s">
        <v>523</v>
      </c>
      <c r="C162" t="s">
        <v>1261</v>
      </c>
      <c r="D162" t="s">
        <v>160</v>
      </c>
      <c r="E162" t="s">
        <v>1262</v>
      </c>
      <c r="F162">
        <v>60</v>
      </c>
      <c r="J162" t="s">
        <v>1263</v>
      </c>
      <c r="K162" t="s">
        <v>1371</v>
      </c>
    </row>
    <row r="163" spans="1:11" x14ac:dyDescent="0.25">
      <c r="A163" t="s">
        <v>526</v>
      </c>
      <c r="B163" t="s">
        <v>525</v>
      </c>
      <c r="C163" t="s">
        <v>1327</v>
      </c>
      <c r="J163" t="s">
        <v>1263</v>
      </c>
    </row>
    <row r="164" spans="1:11" x14ac:dyDescent="0.25">
      <c r="A164" t="s">
        <v>528</v>
      </c>
      <c r="B164" t="s">
        <v>527</v>
      </c>
      <c r="C164" t="s">
        <v>1327</v>
      </c>
      <c r="J164" t="s">
        <v>1263</v>
      </c>
    </row>
    <row r="165" spans="1:11" x14ac:dyDescent="0.25">
      <c r="A165" t="s">
        <v>530</v>
      </c>
      <c r="B165" t="s">
        <v>529</v>
      </c>
      <c r="C165" t="s">
        <v>1327</v>
      </c>
      <c r="J165" t="s">
        <v>1263</v>
      </c>
    </row>
    <row r="166" spans="1:11" x14ac:dyDescent="0.25">
      <c r="A166" t="s">
        <v>532</v>
      </c>
      <c r="B166" t="s">
        <v>531</v>
      </c>
      <c r="C166" t="s">
        <v>1261</v>
      </c>
      <c r="D166" t="s">
        <v>160</v>
      </c>
      <c r="E166" t="s">
        <v>1262</v>
      </c>
      <c r="F166">
        <v>55</v>
      </c>
      <c r="J166" t="s">
        <v>1263</v>
      </c>
      <c r="K166" t="s">
        <v>1372</v>
      </c>
    </row>
    <row r="167" spans="1:11" x14ac:dyDescent="0.25">
      <c r="A167" t="s">
        <v>534</v>
      </c>
      <c r="B167" t="s">
        <v>533</v>
      </c>
      <c r="C167" t="s">
        <v>1327</v>
      </c>
      <c r="J167" t="s">
        <v>1263</v>
      </c>
    </row>
    <row r="168" spans="1:11" x14ac:dyDescent="0.25">
      <c r="A168" t="s">
        <v>536</v>
      </c>
      <c r="B168" t="s">
        <v>535</v>
      </c>
      <c r="C168" t="s">
        <v>1327</v>
      </c>
      <c r="J168" t="s">
        <v>1263</v>
      </c>
    </row>
    <row r="169" spans="1:11" x14ac:dyDescent="0.25">
      <c r="A169" t="s">
        <v>538</v>
      </c>
      <c r="B169" t="s">
        <v>537</v>
      </c>
      <c r="C169" t="s">
        <v>1327</v>
      </c>
      <c r="J169" t="s">
        <v>1263</v>
      </c>
    </row>
    <row r="170" spans="1:11" x14ac:dyDescent="0.25">
      <c r="A170" t="s">
        <v>539</v>
      </c>
      <c r="B170" t="s">
        <v>168</v>
      </c>
      <c r="C170" t="s">
        <v>1261</v>
      </c>
      <c r="D170" t="s">
        <v>542</v>
      </c>
      <c r="E170" t="s">
        <v>1262</v>
      </c>
      <c r="F170">
        <v>30</v>
      </c>
      <c r="J170" t="s">
        <v>1263</v>
      </c>
      <c r="K170" t="s">
        <v>1373</v>
      </c>
    </row>
    <row r="171" spans="1:11" x14ac:dyDescent="0.25">
      <c r="A171" t="s">
        <v>544</v>
      </c>
      <c r="B171" t="s">
        <v>543</v>
      </c>
      <c r="C171" t="s">
        <v>1261</v>
      </c>
      <c r="D171" t="s">
        <v>160</v>
      </c>
      <c r="E171" t="s">
        <v>1262</v>
      </c>
      <c r="F171">
        <v>75</v>
      </c>
      <c r="J171" t="s">
        <v>1263</v>
      </c>
      <c r="K171" t="s">
        <v>1364</v>
      </c>
    </row>
    <row r="172" spans="1:11" x14ac:dyDescent="0.25">
      <c r="A172" t="s">
        <v>547</v>
      </c>
      <c r="B172" t="s">
        <v>546</v>
      </c>
      <c r="C172" t="s">
        <v>1327</v>
      </c>
      <c r="J172" t="s">
        <v>1263</v>
      </c>
    </row>
    <row r="173" spans="1:11" x14ac:dyDescent="0.25">
      <c r="A173" t="s">
        <v>549</v>
      </c>
      <c r="B173" t="s">
        <v>548</v>
      </c>
      <c r="C173" t="s">
        <v>1261</v>
      </c>
      <c r="D173" t="s">
        <v>160</v>
      </c>
      <c r="E173" t="s">
        <v>1262</v>
      </c>
      <c r="F173">
        <v>134.1</v>
      </c>
      <c r="J173" t="s">
        <v>1263</v>
      </c>
      <c r="K173" t="s">
        <v>1374</v>
      </c>
    </row>
    <row r="174" spans="1:11" x14ac:dyDescent="0.25">
      <c r="A174" t="s">
        <v>551</v>
      </c>
      <c r="B174" t="s">
        <v>550</v>
      </c>
      <c r="C174" t="s">
        <v>1261</v>
      </c>
      <c r="D174" t="s">
        <v>160</v>
      </c>
      <c r="E174" t="s">
        <v>1262</v>
      </c>
      <c r="F174">
        <v>76.5</v>
      </c>
      <c r="J174" t="s">
        <v>1263</v>
      </c>
      <c r="K174" t="s">
        <v>1374</v>
      </c>
    </row>
    <row r="175" spans="1:11" x14ac:dyDescent="0.25">
      <c r="A175" t="s">
        <v>553</v>
      </c>
      <c r="B175" t="s">
        <v>552</v>
      </c>
      <c r="C175" t="s">
        <v>1261</v>
      </c>
      <c r="D175" t="s">
        <v>160</v>
      </c>
      <c r="E175" t="s">
        <v>1262</v>
      </c>
      <c r="F175">
        <v>115</v>
      </c>
      <c r="J175" t="s">
        <v>1263</v>
      </c>
      <c r="K175" t="s">
        <v>1375</v>
      </c>
    </row>
    <row r="176" spans="1:11" x14ac:dyDescent="0.25">
      <c r="A176" t="s">
        <v>555</v>
      </c>
      <c r="B176" t="s">
        <v>554</v>
      </c>
      <c r="C176" t="s">
        <v>1261</v>
      </c>
      <c r="D176" t="s">
        <v>160</v>
      </c>
      <c r="E176" t="s">
        <v>1262</v>
      </c>
      <c r="F176">
        <v>115</v>
      </c>
      <c r="J176" t="s">
        <v>1263</v>
      </c>
      <c r="K176" t="s">
        <v>1348</v>
      </c>
    </row>
    <row r="177" spans="1:11" x14ac:dyDescent="0.25">
      <c r="A177" t="s">
        <v>559</v>
      </c>
      <c r="B177" t="s">
        <v>558</v>
      </c>
      <c r="C177" t="s">
        <v>1261</v>
      </c>
      <c r="D177" t="s">
        <v>160</v>
      </c>
      <c r="E177" t="s">
        <v>1262</v>
      </c>
      <c r="F177">
        <v>65</v>
      </c>
      <c r="J177" t="s">
        <v>1263</v>
      </c>
      <c r="K177" t="s">
        <v>1376</v>
      </c>
    </row>
    <row r="178" spans="1:11" x14ac:dyDescent="0.25">
      <c r="A178" t="s">
        <v>563</v>
      </c>
      <c r="B178" t="s">
        <v>562</v>
      </c>
      <c r="C178" t="s">
        <v>1261</v>
      </c>
      <c r="D178" t="s">
        <v>160</v>
      </c>
      <c r="E178" t="s">
        <v>1262</v>
      </c>
      <c r="F178">
        <v>80</v>
      </c>
      <c r="J178" t="s">
        <v>1263</v>
      </c>
      <c r="K178" t="s">
        <v>1377</v>
      </c>
    </row>
    <row r="179" spans="1:11" x14ac:dyDescent="0.25">
      <c r="A179" t="s">
        <v>565</v>
      </c>
      <c r="B179" t="s">
        <v>564</v>
      </c>
      <c r="C179" t="s">
        <v>1261</v>
      </c>
      <c r="D179" t="s">
        <v>566</v>
      </c>
      <c r="E179" t="s">
        <v>1262</v>
      </c>
      <c r="F179">
        <v>60</v>
      </c>
      <c r="J179" t="s">
        <v>1263</v>
      </c>
      <c r="K179" t="s">
        <v>1378</v>
      </c>
    </row>
    <row r="180" spans="1:11" x14ac:dyDescent="0.25">
      <c r="A180" t="s">
        <v>569</v>
      </c>
      <c r="B180" t="s">
        <v>1379</v>
      </c>
      <c r="C180" t="s">
        <v>1261</v>
      </c>
      <c r="D180" t="s">
        <v>160</v>
      </c>
      <c r="E180" t="s">
        <v>1262</v>
      </c>
      <c r="F180">
        <v>115</v>
      </c>
      <c r="J180" t="s">
        <v>1263</v>
      </c>
      <c r="K180" t="s">
        <v>1374</v>
      </c>
    </row>
    <row r="181" spans="1:11" x14ac:dyDescent="0.25">
      <c r="A181" t="s">
        <v>571</v>
      </c>
      <c r="B181" t="s">
        <v>570</v>
      </c>
      <c r="C181" t="s">
        <v>1261</v>
      </c>
      <c r="D181" t="s">
        <v>160</v>
      </c>
      <c r="E181" t="s">
        <v>1262</v>
      </c>
      <c r="F181">
        <v>115</v>
      </c>
      <c r="J181" t="s">
        <v>1263</v>
      </c>
      <c r="K181" t="s">
        <v>1380</v>
      </c>
    </row>
    <row r="182" spans="1:11" x14ac:dyDescent="0.25">
      <c r="A182" t="s">
        <v>573</v>
      </c>
      <c r="B182" t="s">
        <v>572</v>
      </c>
      <c r="C182" t="s">
        <v>1261</v>
      </c>
      <c r="D182" t="s">
        <v>160</v>
      </c>
      <c r="E182" t="s">
        <v>1262</v>
      </c>
      <c r="F182">
        <v>125</v>
      </c>
      <c r="J182" t="s">
        <v>1263</v>
      </c>
      <c r="K182" t="s">
        <v>1380</v>
      </c>
    </row>
    <row r="183" spans="1:11" x14ac:dyDescent="0.25">
      <c r="A183" t="s">
        <v>576</v>
      </c>
      <c r="B183" t="s">
        <v>575</v>
      </c>
      <c r="C183" t="s">
        <v>1261</v>
      </c>
      <c r="D183" t="s">
        <v>160</v>
      </c>
      <c r="E183" t="s">
        <v>1262</v>
      </c>
      <c r="F183">
        <v>115</v>
      </c>
      <c r="J183" t="s">
        <v>1263</v>
      </c>
      <c r="K183" t="s">
        <v>1381</v>
      </c>
    </row>
    <row r="184" spans="1:11" x14ac:dyDescent="0.25">
      <c r="A184" t="s">
        <v>580</v>
      </c>
      <c r="B184" t="s">
        <v>579</v>
      </c>
      <c r="C184" t="s">
        <v>1261</v>
      </c>
      <c r="D184" t="s">
        <v>160</v>
      </c>
      <c r="E184" t="s">
        <v>1262</v>
      </c>
      <c r="F184">
        <v>120</v>
      </c>
      <c r="J184" t="s">
        <v>1263</v>
      </c>
      <c r="K184" t="s">
        <v>1333</v>
      </c>
    </row>
    <row r="185" spans="1:11" x14ac:dyDescent="0.25">
      <c r="A185" t="s">
        <v>582</v>
      </c>
      <c r="B185" t="s">
        <v>581</v>
      </c>
      <c r="C185" t="s">
        <v>1327</v>
      </c>
      <c r="J185" t="s">
        <v>1263</v>
      </c>
    </row>
    <row r="186" spans="1:11" x14ac:dyDescent="0.25">
      <c r="A186" t="s">
        <v>585</v>
      </c>
      <c r="B186" t="s">
        <v>1382</v>
      </c>
      <c r="C186" t="s">
        <v>1261</v>
      </c>
      <c r="D186" t="s">
        <v>160</v>
      </c>
      <c r="E186" t="s">
        <v>1262</v>
      </c>
      <c r="F186">
        <v>75</v>
      </c>
      <c r="J186" t="s">
        <v>1263</v>
      </c>
      <c r="K186" t="s">
        <v>1342</v>
      </c>
    </row>
    <row r="187" spans="1:11" x14ac:dyDescent="0.25">
      <c r="A187" t="s">
        <v>587</v>
      </c>
      <c r="B187" t="s">
        <v>1383</v>
      </c>
      <c r="C187" t="s">
        <v>1261</v>
      </c>
      <c r="D187" t="s">
        <v>160</v>
      </c>
      <c r="E187" t="s">
        <v>1262</v>
      </c>
      <c r="F187">
        <v>50</v>
      </c>
      <c r="J187" t="s">
        <v>1263</v>
      </c>
      <c r="K187" t="s">
        <v>1333</v>
      </c>
    </row>
    <row r="188" spans="1:11" x14ac:dyDescent="0.25">
      <c r="A188" t="s">
        <v>589</v>
      </c>
      <c r="B188" t="s">
        <v>1384</v>
      </c>
      <c r="C188" t="s">
        <v>1327</v>
      </c>
      <c r="J188" t="s">
        <v>1263</v>
      </c>
    </row>
    <row r="189" spans="1:11" x14ac:dyDescent="0.25">
      <c r="A189" t="s">
        <v>591</v>
      </c>
      <c r="B189" t="s">
        <v>590</v>
      </c>
      <c r="C189" t="s">
        <v>1261</v>
      </c>
      <c r="D189" t="s">
        <v>160</v>
      </c>
      <c r="E189" t="s">
        <v>1262</v>
      </c>
      <c r="F189">
        <v>95</v>
      </c>
      <c r="J189" t="s">
        <v>1263</v>
      </c>
      <c r="K189" t="s">
        <v>1385</v>
      </c>
    </row>
    <row r="190" spans="1:11" x14ac:dyDescent="0.25">
      <c r="A190" t="s">
        <v>595</v>
      </c>
      <c r="B190" t="s">
        <v>594</v>
      </c>
      <c r="C190" t="s">
        <v>1261</v>
      </c>
      <c r="D190" t="s">
        <v>160</v>
      </c>
      <c r="E190" t="s">
        <v>1262</v>
      </c>
      <c r="F190">
        <v>110</v>
      </c>
      <c r="J190" t="s">
        <v>1263</v>
      </c>
      <c r="K190" t="s">
        <v>1386</v>
      </c>
    </row>
    <row r="191" spans="1:11" x14ac:dyDescent="0.25">
      <c r="A191" t="s">
        <v>597</v>
      </c>
      <c r="B191" t="s">
        <v>596</v>
      </c>
      <c r="C191" t="s">
        <v>1327</v>
      </c>
      <c r="J191" t="s">
        <v>1263</v>
      </c>
    </row>
    <row r="192" spans="1:11" x14ac:dyDescent="0.25">
      <c r="A192" t="s">
        <v>599</v>
      </c>
      <c r="B192" t="s">
        <v>598</v>
      </c>
      <c r="C192" t="s">
        <v>1261</v>
      </c>
      <c r="D192" t="s">
        <v>160</v>
      </c>
      <c r="E192" t="s">
        <v>1262</v>
      </c>
      <c r="F192">
        <v>56.66</v>
      </c>
      <c r="J192" t="s">
        <v>1263</v>
      </c>
      <c r="K192" t="s">
        <v>1387</v>
      </c>
    </row>
    <row r="193" spans="1:11" x14ac:dyDescent="0.25">
      <c r="A193" t="s">
        <v>602</v>
      </c>
      <c r="B193" t="s">
        <v>601</v>
      </c>
      <c r="C193" t="s">
        <v>1261</v>
      </c>
      <c r="D193" t="s">
        <v>160</v>
      </c>
      <c r="E193" t="s">
        <v>1262</v>
      </c>
      <c r="F193">
        <v>56.66</v>
      </c>
      <c r="J193" t="s">
        <v>1263</v>
      </c>
      <c r="K193" t="s">
        <v>1387</v>
      </c>
    </row>
    <row r="194" spans="1:11" x14ac:dyDescent="0.25">
      <c r="A194" t="s">
        <v>604</v>
      </c>
      <c r="B194" t="s">
        <v>603</v>
      </c>
      <c r="C194" t="s">
        <v>1261</v>
      </c>
      <c r="D194" t="s">
        <v>160</v>
      </c>
      <c r="E194" t="s">
        <v>1262</v>
      </c>
      <c r="F194">
        <v>56.66</v>
      </c>
      <c r="J194" t="s">
        <v>1263</v>
      </c>
      <c r="K194" t="s">
        <v>1387</v>
      </c>
    </row>
    <row r="195" spans="1:11" x14ac:dyDescent="0.25">
      <c r="A195" t="s">
        <v>606</v>
      </c>
      <c r="B195" t="s">
        <v>605</v>
      </c>
      <c r="C195" t="s">
        <v>1261</v>
      </c>
      <c r="D195" t="s">
        <v>160</v>
      </c>
      <c r="E195" t="s">
        <v>1262</v>
      </c>
      <c r="F195">
        <v>99</v>
      </c>
      <c r="J195" t="s">
        <v>1263</v>
      </c>
      <c r="K195" t="s">
        <v>1388</v>
      </c>
    </row>
    <row r="196" spans="1:11" x14ac:dyDescent="0.25">
      <c r="A196" t="s">
        <v>609</v>
      </c>
      <c r="B196" t="s">
        <v>608</v>
      </c>
      <c r="C196" t="s">
        <v>1261</v>
      </c>
      <c r="D196" t="s">
        <v>160</v>
      </c>
      <c r="E196" t="s">
        <v>1262</v>
      </c>
      <c r="F196">
        <v>96.42</v>
      </c>
      <c r="J196" t="s">
        <v>1263</v>
      </c>
      <c r="K196" t="s">
        <v>1353</v>
      </c>
    </row>
    <row r="197" spans="1:11" x14ac:dyDescent="0.25">
      <c r="A197" t="s">
        <v>611</v>
      </c>
      <c r="B197" t="s">
        <v>610</v>
      </c>
      <c r="C197" t="s">
        <v>1261</v>
      </c>
      <c r="D197" t="s">
        <v>160</v>
      </c>
      <c r="E197" t="s">
        <v>1262</v>
      </c>
      <c r="F197">
        <v>90</v>
      </c>
      <c r="J197" t="s">
        <v>1263</v>
      </c>
      <c r="K197" t="s">
        <v>1363</v>
      </c>
    </row>
    <row r="198" spans="1:11" x14ac:dyDescent="0.25">
      <c r="A198" t="s">
        <v>613</v>
      </c>
      <c r="B198" t="s">
        <v>612</v>
      </c>
      <c r="C198" t="s">
        <v>1261</v>
      </c>
      <c r="D198" t="s">
        <v>160</v>
      </c>
      <c r="E198" t="s">
        <v>1262</v>
      </c>
      <c r="F198">
        <v>105</v>
      </c>
      <c r="J198" t="s">
        <v>1263</v>
      </c>
      <c r="K198" t="s">
        <v>1349</v>
      </c>
    </row>
    <row r="199" spans="1:11" x14ac:dyDescent="0.25">
      <c r="A199" t="s">
        <v>615</v>
      </c>
      <c r="B199" t="s">
        <v>614</v>
      </c>
      <c r="C199" t="s">
        <v>1261</v>
      </c>
      <c r="D199" t="s">
        <v>160</v>
      </c>
      <c r="E199" t="s">
        <v>1262</v>
      </c>
      <c r="F199">
        <v>80</v>
      </c>
      <c r="J199" t="s">
        <v>1263</v>
      </c>
      <c r="K199" t="s">
        <v>1389</v>
      </c>
    </row>
    <row r="200" spans="1:11" x14ac:dyDescent="0.25">
      <c r="A200" t="s">
        <v>618</v>
      </c>
      <c r="B200" t="s">
        <v>617</v>
      </c>
      <c r="C200" t="s">
        <v>1261</v>
      </c>
      <c r="D200" t="s">
        <v>160</v>
      </c>
      <c r="E200" t="s">
        <v>1262</v>
      </c>
      <c r="F200">
        <v>80</v>
      </c>
      <c r="J200" t="s">
        <v>1263</v>
      </c>
      <c r="K200" t="s">
        <v>1390</v>
      </c>
    </row>
    <row r="201" spans="1:11" x14ac:dyDescent="0.25">
      <c r="A201" t="s">
        <v>620</v>
      </c>
      <c r="B201" t="s">
        <v>619</v>
      </c>
      <c r="C201" t="s">
        <v>1261</v>
      </c>
      <c r="D201" t="s">
        <v>160</v>
      </c>
      <c r="E201" t="s">
        <v>1262</v>
      </c>
      <c r="F201">
        <v>116.5</v>
      </c>
      <c r="J201" t="s">
        <v>1263</v>
      </c>
      <c r="K201" t="s">
        <v>1391</v>
      </c>
    </row>
    <row r="202" spans="1:11" x14ac:dyDescent="0.25">
      <c r="A202" t="s">
        <v>622</v>
      </c>
      <c r="B202" t="s">
        <v>621</v>
      </c>
      <c r="C202" t="s">
        <v>1327</v>
      </c>
      <c r="J202" t="s">
        <v>1263</v>
      </c>
    </row>
    <row r="203" spans="1:11" x14ac:dyDescent="0.25">
      <c r="A203" t="s">
        <v>624</v>
      </c>
      <c r="B203" t="s">
        <v>623</v>
      </c>
      <c r="C203" t="s">
        <v>1327</v>
      </c>
      <c r="J203" t="s">
        <v>1263</v>
      </c>
    </row>
    <row r="204" spans="1:11" x14ac:dyDescent="0.25">
      <c r="A204" t="s">
        <v>626</v>
      </c>
      <c r="B204" t="s">
        <v>625</v>
      </c>
      <c r="C204" t="s">
        <v>1261</v>
      </c>
      <c r="D204" t="s">
        <v>160</v>
      </c>
      <c r="E204" t="s">
        <v>1262</v>
      </c>
      <c r="F204">
        <v>100</v>
      </c>
      <c r="J204" t="s">
        <v>1263</v>
      </c>
      <c r="K204" t="s">
        <v>1392</v>
      </c>
    </row>
    <row r="205" spans="1:11" x14ac:dyDescent="0.25">
      <c r="A205" t="s">
        <v>628</v>
      </c>
      <c r="B205" t="s">
        <v>627</v>
      </c>
      <c r="C205" t="s">
        <v>1261</v>
      </c>
      <c r="D205" t="s">
        <v>160</v>
      </c>
      <c r="E205" t="s">
        <v>1262</v>
      </c>
      <c r="F205">
        <v>125</v>
      </c>
      <c r="J205" t="s">
        <v>1263</v>
      </c>
      <c r="K205" t="s">
        <v>1385</v>
      </c>
    </row>
    <row r="206" spans="1:11" x14ac:dyDescent="0.25">
      <c r="A206" t="s">
        <v>630</v>
      </c>
      <c r="B206" t="s">
        <v>1393</v>
      </c>
      <c r="C206" t="s">
        <v>1261</v>
      </c>
      <c r="D206" t="s">
        <v>160</v>
      </c>
      <c r="E206" t="s">
        <v>1262</v>
      </c>
      <c r="F206">
        <v>40</v>
      </c>
      <c r="J206" t="s">
        <v>1263</v>
      </c>
      <c r="K206" t="s">
        <v>1367</v>
      </c>
    </row>
    <row r="207" spans="1:11" x14ac:dyDescent="0.25">
      <c r="A207" t="s">
        <v>632</v>
      </c>
      <c r="B207" t="s">
        <v>631</v>
      </c>
      <c r="C207" t="s">
        <v>1261</v>
      </c>
      <c r="D207" t="s">
        <v>160</v>
      </c>
      <c r="E207" t="s">
        <v>1262</v>
      </c>
      <c r="F207">
        <v>120</v>
      </c>
      <c r="J207" t="s">
        <v>1263</v>
      </c>
      <c r="K207" t="s">
        <v>1391</v>
      </c>
    </row>
    <row r="208" spans="1:11" x14ac:dyDescent="0.25">
      <c r="A208" t="s">
        <v>635</v>
      </c>
      <c r="B208" t="s">
        <v>634</v>
      </c>
      <c r="C208" t="s">
        <v>1261</v>
      </c>
      <c r="D208" t="s">
        <v>160</v>
      </c>
      <c r="E208" t="s">
        <v>1262</v>
      </c>
      <c r="F208">
        <v>120</v>
      </c>
      <c r="J208" t="s">
        <v>1263</v>
      </c>
      <c r="K208" t="s">
        <v>1394</v>
      </c>
    </row>
    <row r="209" spans="1:11" x14ac:dyDescent="0.25">
      <c r="A209" t="s">
        <v>637</v>
      </c>
      <c r="B209" t="s">
        <v>636</v>
      </c>
      <c r="C209" t="s">
        <v>1261</v>
      </c>
      <c r="D209" t="s">
        <v>160</v>
      </c>
      <c r="E209" t="s">
        <v>1262</v>
      </c>
      <c r="F209">
        <v>119</v>
      </c>
      <c r="J209" t="s">
        <v>1263</v>
      </c>
      <c r="K209" t="s">
        <v>1336</v>
      </c>
    </row>
    <row r="210" spans="1:11" x14ac:dyDescent="0.25">
      <c r="A210" t="s">
        <v>639</v>
      </c>
      <c r="B210" t="s">
        <v>638</v>
      </c>
      <c r="C210" t="s">
        <v>1327</v>
      </c>
      <c r="J210" t="s">
        <v>1263</v>
      </c>
    </row>
    <row r="211" spans="1:11" x14ac:dyDescent="0.25">
      <c r="A211" t="s">
        <v>641</v>
      </c>
      <c r="B211" t="s">
        <v>640</v>
      </c>
      <c r="C211" t="s">
        <v>1261</v>
      </c>
      <c r="D211" t="s">
        <v>160</v>
      </c>
      <c r="E211" t="s">
        <v>1262</v>
      </c>
      <c r="F211">
        <v>89.1</v>
      </c>
      <c r="J211" t="s">
        <v>1263</v>
      </c>
      <c r="K211" t="s">
        <v>1395</v>
      </c>
    </row>
    <row r="212" spans="1:11" x14ac:dyDescent="0.25">
      <c r="A212" t="s">
        <v>643</v>
      </c>
      <c r="B212" t="s">
        <v>642</v>
      </c>
      <c r="C212" t="s">
        <v>1327</v>
      </c>
      <c r="J212" t="s">
        <v>1263</v>
      </c>
    </row>
    <row r="213" spans="1:11" x14ac:dyDescent="0.25">
      <c r="A213" t="s">
        <v>645</v>
      </c>
      <c r="B213" t="s">
        <v>1396</v>
      </c>
      <c r="C213" t="s">
        <v>1261</v>
      </c>
      <c r="D213" t="s">
        <v>160</v>
      </c>
      <c r="E213" t="s">
        <v>1262</v>
      </c>
      <c r="F213">
        <v>35.1</v>
      </c>
      <c r="J213" t="s">
        <v>1263</v>
      </c>
      <c r="K213" t="s">
        <v>1388</v>
      </c>
    </row>
    <row r="214" spans="1:11" x14ac:dyDescent="0.25">
      <c r="A214" t="s">
        <v>647</v>
      </c>
      <c r="B214" t="s">
        <v>646</v>
      </c>
      <c r="C214" t="s">
        <v>1261</v>
      </c>
      <c r="D214" t="s">
        <v>160</v>
      </c>
      <c r="E214" t="s">
        <v>1262</v>
      </c>
      <c r="F214">
        <v>120</v>
      </c>
      <c r="J214" t="s">
        <v>1263</v>
      </c>
      <c r="K214" t="s">
        <v>1343</v>
      </c>
    </row>
    <row r="215" spans="1:11" x14ac:dyDescent="0.25">
      <c r="A215" t="s">
        <v>649</v>
      </c>
      <c r="B215" t="s">
        <v>200</v>
      </c>
      <c r="C215" t="s">
        <v>1327</v>
      </c>
      <c r="J215" t="s">
        <v>1263</v>
      </c>
    </row>
    <row r="216" spans="1:11" x14ac:dyDescent="0.25">
      <c r="A216" t="s">
        <v>652</v>
      </c>
      <c r="B216" t="s">
        <v>1396</v>
      </c>
      <c r="C216" t="s">
        <v>1261</v>
      </c>
      <c r="D216" t="s">
        <v>160</v>
      </c>
      <c r="E216" t="s">
        <v>1262</v>
      </c>
      <c r="F216">
        <v>75</v>
      </c>
      <c r="J216" t="s">
        <v>1263</v>
      </c>
      <c r="K216" t="s">
        <v>1397</v>
      </c>
    </row>
    <row r="217" spans="1:11" x14ac:dyDescent="0.25">
      <c r="A217" t="s">
        <v>653</v>
      </c>
      <c r="B217" t="s">
        <v>1396</v>
      </c>
      <c r="C217" t="s">
        <v>1261</v>
      </c>
      <c r="D217" t="s">
        <v>160</v>
      </c>
      <c r="E217" t="s">
        <v>1262</v>
      </c>
      <c r="F217">
        <v>45</v>
      </c>
      <c r="J217" t="s">
        <v>1263</v>
      </c>
      <c r="K217" t="s">
        <v>1398</v>
      </c>
    </row>
    <row r="218" spans="1:11" x14ac:dyDescent="0.25">
      <c r="A218" t="s">
        <v>655</v>
      </c>
      <c r="B218" t="s">
        <v>654</v>
      </c>
      <c r="C218" t="s">
        <v>1261</v>
      </c>
      <c r="D218" t="s">
        <v>160</v>
      </c>
      <c r="E218" t="s">
        <v>1262</v>
      </c>
      <c r="F218">
        <v>70</v>
      </c>
      <c r="J218" t="s">
        <v>1263</v>
      </c>
      <c r="K218" t="s">
        <v>1399</v>
      </c>
    </row>
    <row r="219" spans="1:11" x14ac:dyDescent="0.25">
      <c r="A219" t="s">
        <v>656</v>
      </c>
      <c r="B219" t="s">
        <v>654</v>
      </c>
      <c r="C219" t="s">
        <v>1261</v>
      </c>
      <c r="D219" t="s">
        <v>160</v>
      </c>
      <c r="E219" t="s">
        <v>1262</v>
      </c>
      <c r="F219">
        <v>65</v>
      </c>
      <c r="J219" t="s">
        <v>1263</v>
      </c>
      <c r="K219" t="s">
        <v>1400</v>
      </c>
    </row>
    <row r="220" spans="1:11" x14ac:dyDescent="0.25">
      <c r="A220" t="s">
        <v>658</v>
      </c>
      <c r="B220" t="s">
        <v>657</v>
      </c>
      <c r="C220" t="s">
        <v>1261</v>
      </c>
      <c r="D220" t="s">
        <v>160</v>
      </c>
      <c r="E220" t="s">
        <v>1262</v>
      </c>
      <c r="F220">
        <v>110</v>
      </c>
      <c r="J220" t="s">
        <v>1263</v>
      </c>
      <c r="K220" t="s">
        <v>1401</v>
      </c>
    </row>
    <row r="221" spans="1:11" x14ac:dyDescent="0.25">
      <c r="A221" t="s">
        <v>661</v>
      </c>
      <c r="B221" t="s">
        <v>660</v>
      </c>
      <c r="C221" t="s">
        <v>1261</v>
      </c>
      <c r="D221" t="s">
        <v>160</v>
      </c>
      <c r="E221" t="s">
        <v>1262</v>
      </c>
      <c r="F221">
        <v>125</v>
      </c>
      <c r="J221" t="s">
        <v>1263</v>
      </c>
      <c r="K221" t="s">
        <v>1389</v>
      </c>
    </row>
    <row r="222" spans="1:11" x14ac:dyDescent="0.25">
      <c r="A222" t="s">
        <v>663</v>
      </c>
      <c r="B222" t="s">
        <v>662</v>
      </c>
      <c r="C222" t="s">
        <v>1261</v>
      </c>
      <c r="D222" t="s">
        <v>160</v>
      </c>
      <c r="E222" t="s">
        <v>1262</v>
      </c>
      <c r="F222">
        <v>160</v>
      </c>
      <c r="J222" t="s">
        <v>1263</v>
      </c>
      <c r="K222" t="s">
        <v>1402</v>
      </c>
    </row>
    <row r="223" spans="1:11" x14ac:dyDescent="0.25">
      <c r="A223" t="s">
        <v>666</v>
      </c>
      <c r="B223" t="s">
        <v>665</v>
      </c>
      <c r="C223" t="s">
        <v>1261</v>
      </c>
      <c r="D223" t="s">
        <v>160</v>
      </c>
      <c r="E223" t="s">
        <v>1262</v>
      </c>
      <c r="F223">
        <v>55</v>
      </c>
      <c r="J223" t="s">
        <v>1263</v>
      </c>
      <c r="K223" t="s">
        <v>1403</v>
      </c>
    </row>
    <row r="224" spans="1:11" x14ac:dyDescent="0.25">
      <c r="A224" t="s">
        <v>668</v>
      </c>
      <c r="B224" t="s">
        <v>667</v>
      </c>
      <c r="C224" t="s">
        <v>1327</v>
      </c>
      <c r="J224" t="s">
        <v>1263</v>
      </c>
    </row>
    <row r="225" spans="1:11" x14ac:dyDescent="0.25">
      <c r="A225" t="s">
        <v>670</v>
      </c>
      <c r="B225" t="s">
        <v>669</v>
      </c>
      <c r="C225" t="s">
        <v>1327</v>
      </c>
      <c r="J225" t="s">
        <v>1263</v>
      </c>
    </row>
    <row r="226" spans="1:11" x14ac:dyDescent="0.25">
      <c r="A226" t="s">
        <v>672</v>
      </c>
      <c r="B226" t="s">
        <v>671</v>
      </c>
      <c r="C226" t="s">
        <v>1327</v>
      </c>
      <c r="J226" t="s">
        <v>1263</v>
      </c>
    </row>
    <row r="227" spans="1:11" x14ac:dyDescent="0.25">
      <c r="A227" t="s">
        <v>674</v>
      </c>
      <c r="B227" t="s">
        <v>673</v>
      </c>
      <c r="C227" t="s">
        <v>1261</v>
      </c>
      <c r="D227" t="s">
        <v>160</v>
      </c>
      <c r="E227" t="s">
        <v>1262</v>
      </c>
      <c r="F227">
        <v>70</v>
      </c>
      <c r="J227" t="s">
        <v>1263</v>
      </c>
      <c r="K227" t="s">
        <v>1399</v>
      </c>
    </row>
    <row r="228" spans="1:11" x14ac:dyDescent="0.25">
      <c r="A228" t="s">
        <v>676</v>
      </c>
      <c r="B228" t="s">
        <v>675</v>
      </c>
      <c r="C228" t="s">
        <v>1261</v>
      </c>
      <c r="D228" t="s">
        <v>160</v>
      </c>
      <c r="E228" t="s">
        <v>1262</v>
      </c>
      <c r="F228">
        <v>99</v>
      </c>
      <c r="J228" t="s">
        <v>1263</v>
      </c>
      <c r="K228" t="s">
        <v>1404</v>
      </c>
    </row>
    <row r="229" spans="1:11" x14ac:dyDescent="0.25">
      <c r="A229" t="s">
        <v>678</v>
      </c>
      <c r="B229" t="s">
        <v>677</v>
      </c>
      <c r="C229" t="s">
        <v>1261</v>
      </c>
      <c r="D229" t="s">
        <v>160</v>
      </c>
      <c r="E229" t="s">
        <v>1262</v>
      </c>
      <c r="F229">
        <v>125</v>
      </c>
      <c r="J229" t="s">
        <v>1263</v>
      </c>
      <c r="K229" t="s">
        <v>1405</v>
      </c>
    </row>
    <row r="230" spans="1:11" x14ac:dyDescent="0.25">
      <c r="A230" t="s">
        <v>681</v>
      </c>
      <c r="B230" t="s">
        <v>680</v>
      </c>
      <c r="C230" t="s">
        <v>1327</v>
      </c>
      <c r="J230" t="s">
        <v>1263</v>
      </c>
    </row>
    <row r="231" spans="1:11" x14ac:dyDescent="0.25">
      <c r="A231" t="s">
        <v>684</v>
      </c>
      <c r="B231" t="s">
        <v>683</v>
      </c>
      <c r="C231" t="s">
        <v>1327</v>
      </c>
      <c r="J231" t="s">
        <v>1263</v>
      </c>
    </row>
    <row r="232" spans="1:11" x14ac:dyDescent="0.25">
      <c r="A232" t="s">
        <v>686</v>
      </c>
      <c r="B232" t="s">
        <v>1396</v>
      </c>
      <c r="C232" t="s">
        <v>1327</v>
      </c>
      <c r="J232" t="s">
        <v>1263</v>
      </c>
    </row>
    <row r="233" spans="1:11" x14ac:dyDescent="0.25">
      <c r="A233" t="s">
        <v>687</v>
      </c>
      <c r="B233" t="s">
        <v>1396</v>
      </c>
      <c r="C233" t="s">
        <v>1261</v>
      </c>
      <c r="D233" t="s">
        <v>160</v>
      </c>
      <c r="E233" t="s">
        <v>1262</v>
      </c>
      <c r="F233">
        <v>59</v>
      </c>
      <c r="J233" t="s">
        <v>1263</v>
      </c>
      <c r="K233" t="s">
        <v>1406</v>
      </c>
    </row>
    <row r="234" spans="1:11" x14ac:dyDescent="0.25">
      <c r="A234" t="s">
        <v>689</v>
      </c>
      <c r="B234" t="s">
        <v>688</v>
      </c>
      <c r="C234" t="s">
        <v>1261</v>
      </c>
      <c r="D234" t="s">
        <v>160</v>
      </c>
      <c r="E234" t="s">
        <v>1262</v>
      </c>
      <c r="F234">
        <v>85</v>
      </c>
      <c r="J234" t="s">
        <v>1263</v>
      </c>
      <c r="K234" t="s">
        <v>1407</v>
      </c>
    </row>
    <row r="235" spans="1:11" x14ac:dyDescent="0.25">
      <c r="A235" t="s">
        <v>692</v>
      </c>
      <c r="B235" t="s">
        <v>691</v>
      </c>
      <c r="C235" t="s">
        <v>1327</v>
      </c>
      <c r="J235" t="s">
        <v>1263</v>
      </c>
    </row>
    <row r="236" spans="1:11" x14ac:dyDescent="0.25">
      <c r="A236" t="s">
        <v>694</v>
      </c>
      <c r="B236" t="s">
        <v>693</v>
      </c>
      <c r="C236" t="s">
        <v>1327</v>
      </c>
      <c r="J236" t="s">
        <v>1263</v>
      </c>
    </row>
    <row r="237" spans="1:11" x14ac:dyDescent="0.25">
      <c r="A237" t="s">
        <v>696</v>
      </c>
      <c r="B237" t="s">
        <v>695</v>
      </c>
      <c r="C237" t="s">
        <v>1261</v>
      </c>
      <c r="D237" t="s">
        <v>160</v>
      </c>
      <c r="E237" t="s">
        <v>1262</v>
      </c>
      <c r="F237">
        <v>60</v>
      </c>
      <c r="J237" t="s">
        <v>1263</v>
      </c>
      <c r="K237" t="s">
        <v>1408</v>
      </c>
    </row>
    <row r="238" spans="1:11" x14ac:dyDescent="0.25">
      <c r="A238" t="s">
        <v>698</v>
      </c>
      <c r="B238" t="s">
        <v>697</v>
      </c>
      <c r="C238" t="s">
        <v>1327</v>
      </c>
      <c r="J238" t="s">
        <v>1263</v>
      </c>
    </row>
    <row r="239" spans="1:11" x14ac:dyDescent="0.25">
      <c r="A239" t="s">
        <v>700</v>
      </c>
      <c r="B239" t="s">
        <v>699</v>
      </c>
      <c r="C239" t="s">
        <v>1261</v>
      </c>
      <c r="D239" t="s">
        <v>160</v>
      </c>
      <c r="E239" t="s">
        <v>1262</v>
      </c>
      <c r="F239">
        <v>100</v>
      </c>
      <c r="J239" t="s">
        <v>1263</v>
      </c>
      <c r="K239" t="s">
        <v>1409</v>
      </c>
    </row>
    <row r="240" spans="1:11" x14ac:dyDescent="0.25">
      <c r="A240" t="s">
        <v>703</v>
      </c>
      <c r="B240" t="s">
        <v>702</v>
      </c>
      <c r="C240" t="s">
        <v>1327</v>
      </c>
      <c r="J240" t="s">
        <v>1263</v>
      </c>
    </row>
    <row r="241" spans="1:11" x14ac:dyDescent="0.25">
      <c r="A241" t="s">
        <v>705</v>
      </c>
      <c r="B241" t="s">
        <v>704</v>
      </c>
      <c r="C241" t="s">
        <v>1261</v>
      </c>
      <c r="D241" t="s">
        <v>160</v>
      </c>
      <c r="E241" t="s">
        <v>1262</v>
      </c>
      <c r="F241">
        <v>60</v>
      </c>
      <c r="J241" t="s">
        <v>1263</v>
      </c>
      <c r="K241" t="s">
        <v>1410</v>
      </c>
    </row>
    <row r="242" spans="1:11" x14ac:dyDescent="0.25">
      <c r="A242" t="s">
        <v>708</v>
      </c>
      <c r="B242" t="s">
        <v>707</v>
      </c>
      <c r="C242" t="s">
        <v>1261</v>
      </c>
      <c r="D242" t="s">
        <v>160</v>
      </c>
      <c r="E242" t="s">
        <v>1262</v>
      </c>
      <c r="F242">
        <v>75</v>
      </c>
      <c r="J242" t="s">
        <v>1263</v>
      </c>
      <c r="K242" t="s">
        <v>1363</v>
      </c>
    </row>
    <row r="243" spans="1:11" x14ac:dyDescent="0.25">
      <c r="A243" t="s">
        <v>710</v>
      </c>
      <c r="B243" t="s">
        <v>709</v>
      </c>
      <c r="C243" t="s">
        <v>1261</v>
      </c>
      <c r="D243" t="s">
        <v>160</v>
      </c>
      <c r="E243" t="s">
        <v>1262</v>
      </c>
      <c r="F243">
        <v>80</v>
      </c>
      <c r="J243" t="s">
        <v>1263</v>
      </c>
      <c r="K243" t="s">
        <v>1411</v>
      </c>
    </row>
    <row r="244" spans="1:11" x14ac:dyDescent="0.25">
      <c r="A244" t="s">
        <v>712</v>
      </c>
      <c r="B244" t="s">
        <v>711</v>
      </c>
      <c r="C244" t="s">
        <v>1261</v>
      </c>
      <c r="D244" t="s">
        <v>160</v>
      </c>
      <c r="E244" t="s">
        <v>1262</v>
      </c>
      <c r="F244">
        <v>155</v>
      </c>
      <c r="J244" t="s">
        <v>1263</v>
      </c>
      <c r="K244" t="s">
        <v>1343</v>
      </c>
    </row>
    <row r="245" spans="1:11" x14ac:dyDescent="0.25">
      <c r="A245" t="s">
        <v>715</v>
      </c>
      <c r="B245" t="s">
        <v>714</v>
      </c>
      <c r="C245" t="s">
        <v>1261</v>
      </c>
      <c r="D245" t="s">
        <v>160</v>
      </c>
      <c r="E245" t="s">
        <v>1262</v>
      </c>
      <c r="F245">
        <v>80</v>
      </c>
      <c r="J245" t="s">
        <v>1263</v>
      </c>
      <c r="K245" t="s">
        <v>1412</v>
      </c>
    </row>
    <row r="246" spans="1:11" x14ac:dyDescent="0.25">
      <c r="A246" t="s">
        <v>717</v>
      </c>
      <c r="B246" t="s">
        <v>716</v>
      </c>
      <c r="C246" t="s">
        <v>1261</v>
      </c>
      <c r="D246" t="s">
        <v>160</v>
      </c>
      <c r="E246" t="s">
        <v>1262</v>
      </c>
      <c r="F246">
        <v>55</v>
      </c>
      <c r="J246" t="s">
        <v>1263</v>
      </c>
      <c r="K246" t="s">
        <v>1412</v>
      </c>
    </row>
    <row r="247" spans="1:11" x14ac:dyDescent="0.25">
      <c r="A247" t="s">
        <v>719</v>
      </c>
      <c r="B247" t="s">
        <v>718</v>
      </c>
      <c r="C247" t="s">
        <v>1261</v>
      </c>
      <c r="D247" t="s">
        <v>160</v>
      </c>
      <c r="E247" t="s">
        <v>1262</v>
      </c>
      <c r="F247">
        <v>105</v>
      </c>
      <c r="J247" t="s">
        <v>1263</v>
      </c>
      <c r="K247" t="s">
        <v>1363</v>
      </c>
    </row>
    <row r="248" spans="1:11" x14ac:dyDescent="0.25">
      <c r="A248" t="s">
        <v>723</v>
      </c>
      <c r="B248" t="s">
        <v>722</v>
      </c>
      <c r="C248" t="s">
        <v>1261</v>
      </c>
      <c r="D248" t="s">
        <v>160</v>
      </c>
      <c r="E248" t="s">
        <v>1262</v>
      </c>
      <c r="F248">
        <v>75</v>
      </c>
      <c r="J248" t="s">
        <v>1263</v>
      </c>
      <c r="K248" t="s">
        <v>1413</v>
      </c>
    </row>
    <row r="249" spans="1:11" x14ac:dyDescent="0.25">
      <c r="A249" t="s">
        <v>725</v>
      </c>
      <c r="B249" t="s">
        <v>724</v>
      </c>
      <c r="C249" t="s">
        <v>1261</v>
      </c>
      <c r="D249" t="s">
        <v>160</v>
      </c>
      <c r="E249" t="s">
        <v>1262</v>
      </c>
      <c r="F249">
        <v>67.5</v>
      </c>
      <c r="J249" t="s">
        <v>1263</v>
      </c>
      <c r="K249" t="s">
        <v>1406</v>
      </c>
    </row>
    <row r="250" spans="1:11" x14ac:dyDescent="0.25">
      <c r="A250" t="s">
        <v>727</v>
      </c>
      <c r="B250" t="s">
        <v>726</v>
      </c>
      <c r="C250" t="s">
        <v>1327</v>
      </c>
      <c r="J250" t="s">
        <v>1263</v>
      </c>
    </row>
    <row r="251" spans="1:11" x14ac:dyDescent="0.25">
      <c r="A251" t="s">
        <v>729</v>
      </c>
      <c r="B251" t="s">
        <v>728</v>
      </c>
      <c r="C251" t="s">
        <v>1261</v>
      </c>
      <c r="D251" t="s">
        <v>160</v>
      </c>
      <c r="E251" t="s">
        <v>1262</v>
      </c>
      <c r="F251">
        <v>32.5</v>
      </c>
      <c r="J251" t="s">
        <v>1263</v>
      </c>
      <c r="K251" t="s">
        <v>1414</v>
      </c>
    </row>
    <row r="252" spans="1:11" x14ac:dyDescent="0.25">
      <c r="A252" t="s">
        <v>731</v>
      </c>
      <c r="B252" t="s">
        <v>730</v>
      </c>
      <c r="C252" t="s">
        <v>1261</v>
      </c>
      <c r="D252" t="s">
        <v>160</v>
      </c>
      <c r="E252" t="s">
        <v>1262</v>
      </c>
      <c r="F252">
        <v>85</v>
      </c>
      <c r="J252" t="s">
        <v>1263</v>
      </c>
      <c r="K252" t="s">
        <v>1415</v>
      </c>
    </row>
    <row r="253" spans="1:11" x14ac:dyDescent="0.25">
      <c r="A253" t="s">
        <v>733</v>
      </c>
      <c r="B253" t="s">
        <v>596</v>
      </c>
      <c r="C253" t="s">
        <v>1261</v>
      </c>
      <c r="D253" t="s">
        <v>160</v>
      </c>
      <c r="E253" t="s">
        <v>1262</v>
      </c>
      <c r="F253">
        <v>89</v>
      </c>
      <c r="J253" t="s">
        <v>1263</v>
      </c>
      <c r="K253" t="s">
        <v>1359</v>
      </c>
    </row>
    <row r="254" spans="1:11" x14ac:dyDescent="0.25">
      <c r="A254" t="s">
        <v>736</v>
      </c>
      <c r="B254" t="s">
        <v>735</v>
      </c>
      <c r="C254" t="s">
        <v>1261</v>
      </c>
      <c r="D254" t="s">
        <v>160</v>
      </c>
      <c r="E254" t="s">
        <v>1262</v>
      </c>
      <c r="F254">
        <v>100</v>
      </c>
      <c r="J254" t="s">
        <v>1263</v>
      </c>
      <c r="K254" t="s">
        <v>1416</v>
      </c>
    </row>
    <row r="255" spans="1:11" x14ac:dyDescent="0.25">
      <c r="A255" t="s">
        <v>739</v>
      </c>
      <c r="B255" t="s">
        <v>738</v>
      </c>
      <c r="C255" t="s">
        <v>1261</v>
      </c>
      <c r="D255" t="s">
        <v>160</v>
      </c>
      <c r="E255" t="s">
        <v>1262</v>
      </c>
      <c r="F255">
        <v>85</v>
      </c>
      <c r="J255" t="s">
        <v>1263</v>
      </c>
      <c r="K255" t="s">
        <v>1399</v>
      </c>
    </row>
    <row r="256" spans="1:11" x14ac:dyDescent="0.25">
      <c r="A256" t="s">
        <v>740</v>
      </c>
      <c r="B256" t="s">
        <v>596</v>
      </c>
      <c r="C256" t="s">
        <v>1261</v>
      </c>
      <c r="D256" t="s">
        <v>160</v>
      </c>
      <c r="E256" t="s">
        <v>1262</v>
      </c>
      <c r="F256">
        <v>76.95</v>
      </c>
      <c r="J256" t="s">
        <v>1263</v>
      </c>
      <c r="K256" t="s">
        <v>1366</v>
      </c>
    </row>
    <row r="257" spans="1:11" x14ac:dyDescent="0.25">
      <c r="A257" t="s">
        <v>741</v>
      </c>
      <c r="B257" t="s">
        <v>596</v>
      </c>
      <c r="C257" t="s">
        <v>1261</v>
      </c>
      <c r="D257" t="s">
        <v>160</v>
      </c>
      <c r="E257" t="s">
        <v>1262</v>
      </c>
      <c r="F257">
        <v>100</v>
      </c>
      <c r="J257" t="s">
        <v>1263</v>
      </c>
      <c r="K257" t="s">
        <v>1417</v>
      </c>
    </row>
    <row r="258" spans="1:11" x14ac:dyDescent="0.25">
      <c r="A258" t="s">
        <v>742</v>
      </c>
      <c r="B258" t="s">
        <v>596</v>
      </c>
      <c r="C258" t="s">
        <v>1261</v>
      </c>
      <c r="D258" t="s">
        <v>160</v>
      </c>
      <c r="E258" t="s">
        <v>1262</v>
      </c>
      <c r="F258">
        <v>109</v>
      </c>
      <c r="J258" t="s">
        <v>1263</v>
      </c>
      <c r="K258" t="s">
        <v>1417</v>
      </c>
    </row>
    <row r="259" spans="1:11" x14ac:dyDescent="0.25">
      <c r="A259" t="s">
        <v>744</v>
      </c>
      <c r="B259" t="s">
        <v>743</v>
      </c>
      <c r="C259" t="s">
        <v>1261</v>
      </c>
      <c r="D259" t="s">
        <v>160</v>
      </c>
      <c r="E259" t="s">
        <v>1262</v>
      </c>
      <c r="F259">
        <v>79</v>
      </c>
      <c r="J259" t="s">
        <v>1263</v>
      </c>
      <c r="K259" t="s">
        <v>1418</v>
      </c>
    </row>
    <row r="260" spans="1:11" x14ac:dyDescent="0.25">
      <c r="A260" t="s">
        <v>746</v>
      </c>
      <c r="B260" t="s">
        <v>745</v>
      </c>
      <c r="C260" t="s">
        <v>1261</v>
      </c>
      <c r="D260" t="s">
        <v>160</v>
      </c>
      <c r="E260" t="s">
        <v>1262</v>
      </c>
      <c r="F260">
        <v>55</v>
      </c>
      <c r="J260" t="s">
        <v>1263</v>
      </c>
      <c r="K260" t="s">
        <v>1419</v>
      </c>
    </row>
    <row r="261" spans="1:11" x14ac:dyDescent="0.25">
      <c r="A261" t="s">
        <v>748</v>
      </c>
      <c r="B261" t="s">
        <v>747</v>
      </c>
      <c r="C261" t="s">
        <v>1261</v>
      </c>
      <c r="D261" t="s">
        <v>160</v>
      </c>
      <c r="E261" t="s">
        <v>1262</v>
      </c>
      <c r="F261">
        <v>160</v>
      </c>
      <c r="J261" t="s">
        <v>1263</v>
      </c>
      <c r="K261" t="s">
        <v>1385</v>
      </c>
    </row>
    <row r="262" spans="1:11" x14ac:dyDescent="0.25">
      <c r="A262" t="s">
        <v>751</v>
      </c>
      <c r="B262" t="s">
        <v>750</v>
      </c>
      <c r="C262" t="s">
        <v>1327</v>
      </c>
      <c r="J262" t="s">
        <v>1263</v>
      </c>
    </row>
    <row r="263" spans="1:11" x14ac:dyDescent="0.25">
      <c r="A263" t="s">
        <v>754</v>
      </c>
      <c r="B263" t="s">
        <v>753</v>
      </c>
      <c r="C263" t="s">
        <v>1261</v>
      </c>
      <c r="D263" t="s">
        <v>160</v>
      </c>
      <c r="E263" t="s">
        <v>1262</v>
      </c>
      <c r="F263">
        <v>105</v>
      </c>
      <c r="J263" t="s">
        <v>1263</v>
      </c>
      <c r="K263" t="s">
        <v>1420</v>
      </c>
    </row>
    <row r="264" spans="1:11" x14ac:dyDescent="0.25">
      <c r="A264" t="s">
        <v>758</v>
      </c>
      <c r="B264" t="s">
        <v>757</v>
      </c>
      <c r="C264" t="s">
        <v>1261</v>
      </c>
      <c r="D264" t="s">
        <v>160</v>
      </c>
      <c r="E264" t="s">
        <v>1262</v>
      </c>
      <c r="F264">
        <v>120</v>
      </c>
      <c r="J264" t="s">
        <v>1263</v>
      </c>
      <c r="K264" t="s">
        <v>1421</v>
      </c>
    </row>
    <row r="265" spans="1:11" x14ac:dyDescent="0.25">
      <c r="A265" t="s">
        <v>761</v>
      </c>
      <c r="B265" t="s">
        <v>760</v>
      </c>
      <c r="C265" t="s">
        <v>1327</v>
      </c>
      <c r="J265" t="s">
        <v>1263</v>
      </c>
    </row>
    <row r="266" spans="1:11" x14ac:dyDescent="0.25">
      <c r="A266" t="s">
        <v>763</v>
      </c>
      <c r="B266" t="s">
        <v>762</v>
      </c>
      <c r="C266" t="s">
        <v>1327</v>
      </c>
      <c r="J266" t="s">
        <v>1263</v>
      </c>
    </row>
    <row r="267" spans="1:11" x14ac:dyDescent="0.25">
      <c r="A267" t="s">
        <v>767</v>
      </c>
      <c r="B267" t="s">
        <v>766</v>
      </c>
      <c r="C267" t="s">
        <v>1261</v>
      </c>
      <c r="D267" t="s">
        <v>189</v>
      </c>
      <c r="E267" t="s">
        <v>1262</v>
      </c>
      <c r="F267">
        <v>88.09</v>
      </c>
      <c r="J267" t="s">
        <v>1263</v>
      </c>
      <c r="K267" t="s">
        <v>1385</v>
      </c>
    </row>
    <row r="268" spans="1:11" x14ac:dyDescent="0.25">
      <c r="A268" t="s">
        <v>769</v>
      </c>
      <c r="B268" t="s">
        <v>768</v>
      </c>
      <c r="C268" t="s">
        <v>1327</v>
      </c>
      <c r="J268" t="s">
        <v>1263</v>
      </c>
    </row>
    <row r="269" spans="1:11" x14ac:dyDescent="0.25">
      <c r="A269" t="s">
        <v>771</v>
      </c>
      <c r="B269" t="s">
        <v>770</v>
      </c>
      <c r="C269" t="s">
        <v>1327</v>
      </c>
      <c r="J269" t="s">
        <v>1263</v>
      </c>
    </row>
    <row r="270" spans="1:11" x14ac:dyDescent="0.25">
      <c r="A270" t="s">
        <v>773</v>
      </c>
      <c r="B270" t="s">
        <v>772</v>
      </c>
      <c r="C270" t="s">
        <v>1261</v>
      </c>
      <c r="D270" t="s">
        <v>160</v>
      </c>
      <c r="E270" t="s">
        <v>1262</v>
      </c>
      <c r="F270">
        <v>92</v>
      </c>
      <c r="J270" t="s">
        <v>1263</v>
      </c>
      <c r="K270" t="s">
        <v>1420</v>
      </c>
    </row>
    <row r="271" spans="1:11" x14ac:dyDescent="0.25">
      <c r="A271" t="s">
        <v>775</v>
      </c>
      <c r="B271" t="s">
        <v>774</v>
      </c>
      <c r="C271" t="s">
        <v>1261</v>
      </c>
      <c r="D271" t="s">
        <v>160</v>
      </c>
      <c r="E271" t="s">
        <v>1262</v>
      </c>
      <c r="F271">
        <v>85</v>
      </c>
      <c r="J271" t="s">
        <v>1263</v>
      </c>
      <c r="K271" t="s">
        <v>1422</v>
      </c>
    </row>
    <row r="272" spans="1:11" x14ac:dyDescent="0.25">
      <c r="A272" t="s">
        <v>777</v>
      </c>
      <c r="B272" t="s">
        <v>776</v>
      </c>
      <c r="C272" t="s">
        <v>1261</v>
      </c>
      <c r="D272" t="s">
        <v>160</v>
      </c>
      <c r="E272" t="s">
        <v>1262</v>
      </c>
      <c r="F272">
        <v>150</v>
      </c>
      <c r="J272" t="s">
        <v>1263</v>
      </c>
      <c r="K272" t="s">
        <v>1423</v>
      </c>
    </row>
    <row r="273" spans="1:11" x14ac:dyDescent="0.25">
      <c r="A273" t="s">
        <v>779</v>
      </c>
      <c r="B273" t="s">
        <v>1396</v>
      </c>
      <c r="C273" t="s">
        <v>1261</v>
      </c>
      <c r="D273" t="s">
        <v>160</v>
      </c>
      <c r="E273" t="s">
        <v>1262</v>
      </c>
      <c r="F273">
        <v>45</v>
      </c>
      <c r="J273" t="s">
        <v>1263</v>
      </c>
      <c r="K273" t="s">
        <v>1316</v>
      </c>
    </row>
    <row r="274" spans="1:11" x14ac:dyDescent="0.25">
      <c r="A274" t="s">
        <v>781</v>
      </c>
      <c r="B274" t="s">
        <v>780</v>
      </c>
      <c r="C274" t="s">
        <v>1261</v>
      </c>
      <c r="D274" t="s">
        <v>160</v>
      </c>
      <c r="E274" t="s">
        <v>1262</v>
      </c>
      <c r="F274">
        <v>90</v>
      </c>
      <c r="J274" t="s">
        <v>1263</v>
      </c>
      <c r="K274" t="s">
        <v>1424</v>
      </c>
    </row>
    <row r="275" spans="1:11" x14ac:dyDescent="0.25">
      <c r="A275" t="s">
        <v>784</v>
      </c>
      <c r="B275" t="s">
        <v>783</v>
      </c>
      <c r="C275" t="s">
        <v>1327</v>
      </c>
      <c r="J275" t="s">
        <v>1263</v>
      </c>
    </row>
    <row r="276" spans="1:11" x14ac:dyDescent="0.25">
      <c r="A276" t="s">
        <v>786</v>
      </c>
      <c r="B276" t="s">
        <v>785</v>
      </c>
      <c r="C276" t="s">
        <v>1261</v>
      </c>
      <c r="D276" t="s">
        <v>160</v>
      </c>
      <c r="E276" t="s">
        <v>1262</v>
      </c>
      <c r="F276">
        <v>99</v>
      </c>
      <c r="J276" t="s">
        <v>1263</v>
      </c>
      <c r="K276" t="s">
        <v>1413</v>
      </c>
    </row>
    <row r="277" spans="1:11" x14ac:dyDescent="0.25">
      <c r="A277" t="s">
        <v>788</v>
      </c>
      <c r="B277" t="s">
        <v>787</v>
      </c>
      <c r="C277" t="s">
        <v>1261</v>
      </c>
      <c r="D277" t="s">
        <v>160</v>
      </c>
      <c r="E277" t="s">
        <v>1262</v>
      </c>
      <c r="F277">
        <v>80</v>
      </c>
      <c r="J277" t="s">
        <v>1263</v>
      </c>
      <c r="K277" t="s">
        <v>1425</v>
      </c>
    </row>
    <row r="278" spans="1:11" x14ac:dyDescent="0.25">
      <c r="A278" t="s">
        <v>790</v>
      </c>
      <c r="B278" t="s">
        <v>789</v>
      </c>
      <c r="C278" t="s">
        <v>1261</v>
      </c>
      <c r="D278" t="s">
        <v>160</v>
      </c>
      <c r="E278" t="s">
        <v>1262</v>
      </c>
      <c r="F278">
        <v>80</v>
      </c>
      <c r="J278" t="s">
        <v>1263</v>
      </c>
      <c r="K278" t="s">
        <v>1426</v>
      </c>
    </row>
    <row r="279" spans="1:11" x14ac:dyDescent="0.25">
      <c r="A279" t="s">
        <v>792</v>
      </c>
      <c r="B279" t="s">
        <v>791</v>
      </c>
      <c r="C279" t="s">
        <v>1261</v>
      </c>
      <c r="D279" t="s">
        <v>160</v>
      </c>
      <c r="E279" t="s">
        <v>1262</v>
      </c>
      <c r="F279">
        <v>60</v>
      </c>
      <c r="J279" t="s">
        <v>1263</v>
      </c>
      <c r="K279" t="s">
        <v>1394</v>
      </c>
    </row>
    <row r="280" spans="1:11" x14ac:dyDescent="0.25">
      <c r="A280" t="s">
        <v>794</v>
      </c>
      <c r="B280" t="s">
        <v>793</v>
      </c>
      <c r="C280" t="s">
        <v>1261</v>
      </c>
      <c r="D280" t="s">
        <v>160</v>
      </c>
      <c r="E280" t="s">
        <v>1262</v>
      </c>
      <c r="F280">
        <v>80</v>
      </c>
      <c r="J280" t="s">
        <v>1263</v>
      </c>
      <c r="K280" t="s">
        <v>1427</v>
      </c>
    </row>
    <row r="281" spans="1:11" x14ac:dyDescent="0.25">
      <c r="A281" t="s">
        <v>796</v>
      </c>
      <c r="B281" t="s">
        <v>795</v>
      </c>
      <c r="C281" t="s">
        <v>1261</v>
      </c>
      <c r="D281" t="s">
        <v>160</v>
      </c>
      <c r="E281" t="s">
        <v>1262</v>
      </c>
      <c r="F281">
        <v>135</v>
      </c>
      <c r="J281" t="s">
        <v>1263</v>
      </c>
      <c r="K281" t="s">
        <v>1428</v>
      </c>
    </row>
    <row r="282" spans="1:11" x14ac:dyDescent="0.25">
      <c r="A282" t="s">
        <v>799</v>
      </c>
      <c r="B282" t="s">
        <v>798</v>
      </c>
      <c r="C282" t="s">
        <v>1261</v>
      </c>
      <c r="D282" t="s">
        <v>160</v>
      </c>
      <c r="E282" t="s">
        <v>1262</v>
      </c>
      <c r="F282">
        <v>160</v>
      </c>
      <c r="J282" t="s">
        <v>1263</v>
      </c>
      <c r="K282" t="s">
        <v>1429</v>
      </c>
    </row>
    <row r="283" spans="1:11" x14ac:dyDescent="0.25">
      <c r="A283" t="s">
        <v>801</v>
      </c>
      <c r="B283" t="s">
        <v>800</v>
      </c>
      <c r="C283" t="s">
        <v>1261</v>
      </c>
      <c r="D283" t="s">
        <v>160</v>
      </c>
      <c r="E283" t="s">
        <v>1262</v>
      </c>
      <c r="F283">
        <v>175</v>
      </c>
      <c r="J283" t="s">
        <v>1263</v>
      </c>
      <c r="K283" t="s">
        <v>1410</v>
      </c>
    </row>
    <row r="284" spans="1:11" x14ac:dyDescent="0.25">
      <c r="A284" t="s">
        <v>803</v>
      </c>
      <c r="B284" t="s">
        <v>802</v>
      </c>
      <c r="C284" t="s">
        <v>1327</v>
      </c>
      <c r="J284" t="s">
        <v>1263</v>
      </c>
    </row>
    <row r="285" spans="1:11" x14ac:dyDescent="0.25">
      <c r="A285" t="s">
        <v>806</v>
      </c>
      <c r="B285" t="s">
        <v>805</v>
      </c>
      <c r="C285" t="s">
        <v>1327</v>
      </c>
      <c r="J285" t="s">
        <v>1263</v>
      </c>
    </row>
    <row r="286" spans="1:11" x14ac:dyDescent="0.25">
      <c r="A286" t="s">
        <v>809</v>
      </c>
      <c r="B286" t="s">
        <v>808</v>
      </c>
      <c r="C286" t="s">
        <v>1261</v>
      </c>
      <c r="D286" t="s">
        <v>160</v>
      </c>
      <c r="E286" t="s">
        <v>1262</v>
      </c>
      <c r="F286">
        <v>40</v>
      </c>
      <c r="J286" t="s">
        <v>1263</v>
      </c>
      <c r="K286" t="s">
        <v>1430</v>
      </c>
    </row>
    <row r="287" spans="1:11" x14ac:dyDescent="0.25">
      <c r="A287" t="s">
        <v>812</v>
      </c>
      <c r="B287" t="s">
        <v>811</v>
      </c>
      <c r="C287" t="s">
        <v>1261</v>
      </c>
      <c r="D287" t="s">
        <v>814</v>
      </c>
      <c r="E287" t="s">
        <v>1262</v>
      </c>
      <c r="F287">
        <v>90.4</v>
      </c>
      <c r="J287" t="s">
        <v>1263</v>
      </c>
      <c r="K287" t="s">
        <v>1428</v>
      </c>
    </row>
    <row r="288" spans="1:11" x14ac:dyDescent="0.25">
      <c r="A288" t="s">
        <v>816</v>
      </c>
      <c r="B288" t="s">
        <v>815</v>
      </c>
      <c r="C288" t="s">
        <v>1261</v>
      </c>
      <c r="D288" t="s">
        <v>160</v>
      </c>
      <c r="E288" t="s">
        <v>1262</v>
      </c>
      <c r="F288">
        <v>115</v>
      </c>
      <c r="J288" t="s">
        <v>1263</v>
      </c>
      <c r="K288" t="s">
        <v>1431</v>
      </c>
    </row>
    <row r="289" spans="1:11" x14ac:dyDescent="0.25">
      <c r="A289" t="s">
        <v>819</v>
      </c>
      <c r="B289" t="s">
        <v>818</v>
      </c>
      <c r="C289" t="s">
        <v>1261</v>
      </c>
      <c r="D289" t="s">
        <v>160</v>
      </c>
      <c r="E289" t="s">
        <v>1262</v>
      </c>
      <c r="F289">
        <v>60</v>
      </c>
      <c r="J289" t="s">
        <v>1263</v>
      </c>
      <c r="K289" t="s">
        <v>1371</v>
      </c>
    </row>
    <row r="290" spans="1:11" x14ac:dyDescent="0.25">
      <c r="A290" t="s">
        <v>821</v>
      </c>
      <c r="B290" t="s">
        <v>820</v>
      </c>
      <c r="C290" t="s">
        <v>1261</v>
      </c>
      <c r="D290" t="s">
        <v>814</v>
      </c>
      <c r="E290" t="s">
        <v>1262</v>
      </c>
      <c r="F290">
        <v>90</v>
      </c>
      <c r="J290" t="s">
        <v>1263</v>
      </c>
      <c r="K290" t="s">
        <v>1432</v>
      </c>
    </row>
    <row r="291" spans="1:11" x14ac:dyDescent="0.25">
      <c r="A291" t="s">
        <v>823</v>
      </c>
      <c r="B291" t="s">
        <v>822</v>
      </c>
      <c r="C291" t="s">
        <v>1261</v>
      </c>
      <c r="D291" t="s">
        <v>160</v>
      </c>
      <c r="E291" t="s">
        <v>1262</v>
      </c>
      <c r="F291">
        <v>115</v>
      </c>
      <c r="J291" t="s">
        <v>1263</v>
      </c>
      <c r="K291" t="s">
        <v>1335</v>
      </c>
    </row>
    <row r="292" spans="1:11" x14ac:dyDescent="0.25">
      <c r="A292" t="s">
        <v>827</v>
      </c>
      <c r="B292" t="s">
        <v>826</v>
      </c>
      <c r="C292" t="s">
        <v>1327</v>
      </c>
      <c r="J292" t="s">
        <v>1263</v>
      </c>
    </row>
    <row r="293" spans="1:11" x14ac:dyDescent="0.25">
      <c r="A293" t="s">
        <v>830</v>
      </c>
      <c r="B293" t="s">
        <v>829</v>
      </c>
      <c r="C293" t="s">
        <v>1261</v>
      </c>
      <c r="D293" t="s">
        <v>160</v>
      </c>
      <c r="E293" t="s">
        <v>1262</v>
      </c>
      <c r="F293">
        <v>100</v>
      </c>
      <c r="J293" t="s">
        <v>1263</v>
      </c>
      <c r="K293" t="s">
        <v>1336</v>
      </c>
    </row>
    <row r="294" spans="1:11" x14ac:dyDescent="0.25">
      <c r="A294" t="s">
        <v>833</v>
      </c>
      <c r="B294" t="s">
        <v>832</v>
      </c>
      <c r="C294" t="s">
        <v>1327</v>
      </c>
      <c r="J294" t="s">
        <v>1263</v>
      </c>
    </row>
    <row r="295" spans="1:11" x14ac:dyDescent="0.25">
      <c r="A295" t="s">
        <v>836</v>
      </c>
      <c r="B295" t="s">
        <v>835</v>
      </c>
      <c r="C295" t="s">
        <v>1327</v>
      </c>
      <c r="J295" t="s">
        <v>1263</v>
      </c>
    </row>
    <row r="296" spans="1:11" x14ac:dyDescent="0.25">
      <c r="A296" t="s">
        <v>838</v>
      </c>
      <c r="B296" t="s">
        <v>837</v>
      </c>
      <c r="C296" t="s">
        <v>1261</v>
      </c>
      <c r="D296" t="s">
        <v>160</v>
      </c>
      <c r="E296" t="s">
        <v>1262</v>
      </c>
      <c r="F296">
        <v>79</v>
      </c>
      <c r="J296" t="s">
        <v>1263</v>
      </c>
      <c r="K296" t="s">
        <v>1405</v>
      </c>
    </row>
    <row r="297" spans="1:11" x14ac:dyDescent="0.25">
      <c r="A297" t="s">
        <v>841</v>
      </c>
      <c r="B297" t="s">
        <v>840</v>
      </c>
      <c r="C297" t="s">
        <v>1327</v>
      </c>
      <c r="J297" t="s">
        <v>1263</v>
      </c>
    </row>
    <row r="298" spans="1:11" x14ac:dyDescent="0.25">
      <c r="A298" t="s">
        <v>843</v>
      </c>
      <c r="B298" t="s">
        <v>842</v>
      </c>
      <c r="C298" t="s">
        <v>1327</v>
      </c>
      <c r="J298" t="s">
        <v>1263</v>
      </c>
    </row>
    <row r="299" spans="1:11" x14ac:dyDescent="0.25">
      <c r="A299" t="s">
        <v>845</v>
      </c>
      <c r="B299" t="s">
        <v>844</v>
      </c>
      <c r="C299" t="s">
        <v>1261</v>
      </c>
      <c r="D299" t="s">
        <v>160</v>
      </c>
      <c r="E299" t="s">
        <v>1262</v>
      </c>
      <c r="F299">
        <v>125</v>
      </c>
      <c r="J299" t="s">
        <v>1263</v>
      </c>
      <c r="K299" t="s">
        <v>1409</v>
      </c>
    </row>
    <row r="300" spans="1:11" x14ac:dyDescent="0.25">
      <c r="A300" t="s">
        <v>847</v>
      </c>
      <c r="B300" t="s">
        <v>846</v>
      </c>
      <c r="C300" t="s">
        <v>1327</v>
      </c>
      <c r="J300" t="s">
        <v>1263</v>
      </c>
    </row>
    <row r="301" spans="1:11" x14ac:dyDescent="0.25">
      <c r="A301" t="s">
        <v>849</v>
      </c>
      <c r="B301" t="s">
        <v>848</v>
      </c>
      <c r="C301" t="s">
        <v>1327</v>
      </c>
      <c r="J301" t="s">
        <v>1263</v>
      </c>
    </row>
    <row r="302" spans="1:11" x14ac:dyDescent="0.25">
      <c r="A302" t="s">
        <v>852</v>
      </c>
      <c r="B302" t="s">
        <v>851</v>
      </c>
      <c r="C302" t="s">
        <v>1261</v>
      </c>
      <c r="D302" t="s">
        <v>814</v>
      </c>
      <c r="E302" t="s">
        <v>1262</v>
      </c>
      <c r="F302">
        <v>84</v>
      </c>
      <c r="J302" t="s">
        <v>1263</v>
      </c>
      <c r="K302" t="s">
        <v>1378</v>
      </c>
    </row>
    <row r="303" spans="1:11" x14ac:dyDescent="0.25">
      <c r="A303" t="s">
        <v>854</v>
      </c>
      <c r="B303" t="s">
        <v>853</v>
      </c>
      <c r="C303" t="s">
        <v>1261</v>
      </c>
      <c r="D303" t="s">
        <v>160</v>
      </c>
      <c r="E303" t="s">
        <v>1262</v>
      </c>
      <c r="F303">
        <v>98.5</v>
      </c>
      <c r="J303" t="s">
        <v>1263</v>
      </c>
      <c r="K303" t="s">
        <v>1407</v>
      </c>
    </row>
    <row r="304" spans="1:11" x14ac:dyDescent="0.25">
      <c r="A304" t="s">
        <v>857</v>
      </c>
      <c r="B304" t="s">
        <v>856</v>
      </c>
      <c r="C304" t="s">
        <v>1261</v>
      </c>
      <c r="D304" t="s">
        <v>160</v>
      </c>
      <c r="E304" t="s">
        <v>1262</v>
      </c>
      <c r="F304">
        <v>125</v>
      </c>
      <c r="J304" t="s">
        <v>1263</v>
      </c>
      <c r="K304" t="s">
        <v>1335</v>
      </c>
    </row>
    <row r="305" spans="1:11" x14ac:dyDescent="0.25">
      <c r="A305" t="s">
        <v>860</v>
      </c>
      <c r="B305" t="s">
        <v>859</v>
      </c>
      <c r="C305" t="s">
        <v>1327</v>
      </c>
      <c r="J305" t="s">
        <v>1263</v>
      </c>
    </row>
    <row r="306" spans="1:11" x14ac:dyDescent="0.25">
      <c r="A306" t="s">
        <v>863</v>
      </c>
      <c r="B306" t="s">
        <v>862</v>
      </c>
      <c r="C306" t="s">
        <v>1261</v>
      </c>
      <c r="D306" t="s">
        <v>160</v>
      </c>
      <c r="E306" t="s">
        <v>1262</v>
      </c>
      <c r="F306">
        <v>140</v>
      </c>
      <c r="J306" t="s">
        <v>1263</v>
      </c>
      <c r="K306" t="s">
        <v>1433</v>
      </c>
    </row>
    <row r="307" spans="1:11" x14ac:dyDescent="0.25">
      <c r="A307" t="s">
        <v>865</v>
      </c>
      <c r="B307" t="s">
        <v>864</v>
      </c>
      <c r="C307" t="s">
        <v>1261</v>
      </c>
      <c r="D307" t="s">
        <v>160</v>
      </c>
      <c r="E307" t="s">
        <v>1262</v>
      </c>
      <c r="F307">
        <v>139</v>
      </c>
      <c r="J307" t="s">
        <v>1263</v>
      </c>
      <c r="K307" t="s">
        <v>1335</v>
      </c>
    </row>
    <row r="308" spans="1:11" x14ac:dyDescent="0.25">
      <c r="A308" t="s">
        <v>867</v>
      </c>
      <c r="B308" t="s">
        <v>866</v>
      </c>
      <c r="C308" t="s">
        <v>1327</v>
      </c>
      <c r="J308" t="s">
        <v>1263</v>
      </c>
    </row>
    <row r="309" spans="1:11" x14ac:dyDescent="0.25">
      <c r="A309" t="s">
        <v>870</v>
      </c>
      <c r="B309" t="s">
        <v>869</v>
      </c>
      <c r="C309" t="s">
        <v>1261</v>
      </c>
      <c r="D309" t="s">
        <v>160</v>
      </c>
      <c r="E309" t="s">
        <v>1262</v>
      </c>
      <c r="F309">
        <v>80</v>
      </c>
      <c r="J309" t="s">
        <v>1263</v>
      </c>
      <c r="K309" t="s">
        <v>1434</v>
      </c>
    </row>
    <row r="310" spans="1:11" x14ac:dyDescent="0.25">
      <c r="A310" t="s">
        <v>873</v>
      </c>
      <c r="B310" t="s">
        <v>872</v>
      </c>
      <c r="C310" t="s">
        <v>1261</v>
      </c>
      <c r="D310" t="s">
        <v>160</v>
      </c>
      <c r="E310" t="s">
        <v>1262</v>
      </c>
      <c r="F310">
        <v>50</v>
      </c>
      <c r="J310" t="s">
        <v>1263</v>
      </c>
      <c r="K310" t="s">
        <v>1336</v>
      </c>
    </row>
    <row r="311" spans="1:11" x14ac:dyDescent="0.25">
      <c r="A311" t="s">
        <v>876</v>
      </c>
      <c r="B311" t="s">
        <v>875</v>
      </c>
      <c r="C311" t="s">
        <v>1261</v>
      </c>
      <c r="D311" t="s">
        <v>160</v>
      </c>
      <c r="E311" t="s">
        <v>1262</v>
      </c>
      <c r="F311">
        <v>175</v>
      </c>
      <c r="J311" t="s">
        <v>1263</v>
      </c>
      <c r="K311" t="s">
        <v>1434</v>
      </c>
    </row>
    <row r="312" spans="1:11" x14ac:dyDescent="0.25">
      <c r="A312" t="s">
        <v>878</v>
      </c>
      <c r="B312" t="s">
        <v>877</v>
      </c>
      <c r="C312" t="s">
        <v>1327</v>
      </c>
      <c r="J312" t="s">
        <v>1263</v>
      </c>
    </row>
    <row r="313" spans="1:11" x14ac:dyDescent="0.25">
      <c r="A313" t="s">
        <v>880</v>
      </c>
      <c r="B313" t="s">
        <v>879</v>
      </c>
      <c r="C313" t="s">
        <v>1261</v>
      </c>
      <c r="D313" t="s">
        <v>160</v>
      </c>
      <c r="E313" t="s">
        <v>1262</v>
      </c>
      <c r="F313">
        <v>110</v>
      </c>
      <c r="J313" t="s">
        <v>1263</v>
      </c>
      <c r="K313" t="s">
        <v>1435</v>
      </c>
    </row>
    <row r="314" spans="1:11" x14ac:dyDescent="0.25">
      <c r="A314" t="s">
        <v>884</v>
      </c>
      <c r="B314" t="s">
        <v>883</v>
      </c>
      <c r="C314" t="s">
        <v>1327</v>
      </c>
      <c r="J314" t="s">
        <v>1263</v>
      </c>
    </row>
    <row r="315" spans="1:11" x14ac:dyDescent="0.25">
      <c r="A315" t="s">
        <v>886</v>
      </c>
      <c r="B315" t="s">
        <v>885</v>
      </c>
      <c r="C315" t="s">
        <v>1261</v>
      </c>
      <c r="D315" t="s">
        <v>160</v>
      </c>
      <c r="E315" t="s">
        <v>1262</v>
      </c>
      <c r="F315">
        <v>105</v>
      </c>
      <c r="J315" t="s">
        <v>1263</v>
      </c>
      <c r="K315" t="s">
        <v>1435</v>
      </c>
    </row>
    <row r="316" spans="1:11" x14ac:dyDescent="0.25">
      <c r="A316" t="s">
        <v>888</v>
      </c>
      <c r="B316" t="s">
        <v>887</v>
      </c>
      <c r="C316" t="s">
        <v>1261</v>
      </c>
      <c r="D316" t="s">
        <v>160</v>
      </c>
      <c r="E316" t="s">
        <v>1262</v>
      </c>
      <c r="F316">
        <v>116.81</v>
      </c>
      <c r="J316" t="s">
        <v>1263</v>
      </c>
      <c r="K316" t="s">
        <v>1335</v>
      </c>
    </row>
    <row r="317" spans="1:11" x14ac:dyDescent="0.25">
      <c r="A317" t="s">
        <v>890</v>
      </c>
      <c r="B317" t="s">
        <v>889</v>
      </c>
      <c r="C317" t="s">
        <v>1261</v>
      </c>
      <c r="D317" t="s">
        <v>891</v>
      </c>
      <c r="E317" t="s">
        <v>1262</v>
      </c>
      <c r="F317">
        <v>93.6</v>
      </c>
      <c r="J317" t="s">
        <v>1263</v>
      </c>
      <c r="K317" t="s">
        <v>1372</v>
      </c>
    </row>
    <row r="318" spans="1:11" x14ac:dyDescent="0.25">
      <c r="A318" t="s">
        <v>893</v>
      </c>
      <c r="B318" t="s">
        <v>892</v>
      </c>
      <c r="C318" t="s">
        <v>1327</v>
      </c>
      <c r="J318" t="s">
        <v>1263</v>
      </c>
    </row>
    <row r="319" spans="1:11" x14ac:dyDescent="0.25">
      <c r="A319" t="s">
        <v>896</v>
      </c>
      <c r="B319" t="s">
        <v>895</v>
      </c>
      <c r="C319" t="s">
        <v>1327</v>
      </c>
      <c r="J319" t="s">
        <v>1263</v>
      </c>
    </row>
    <row r="320" spans="1:11" x14ac:dyDescent="0.25">
      <c r="A320" t="s">
        <v>898</v>
      </c>
      <c r="B320" t="s">
        <v>897</v>
      </c>
      <c r="C320" t="s">
        <v>1261</v>
      </c>
      <c r="D320" t="s">
        <v>160</v>
      </c>
      <c r="E320" t="s">
        <v>1262</v>
      </c>
      <c r="F320">
        <v>80</v>
      </c>
      <c r="J320" t="s">
        <v>1263</v>
      </c>
      <c r="K320" t="s">
        <v>1408</v>
      </c>
    </row>
    <row r="321" spans="1:11" x14ac:dyDescent="0.25">
      <c r="A321" t="s">
        <v>900</v>
      </c>
      <c r="B321" t="s">
        <v>899</v>
      </c>
      <c r="C321" t="s">
        <v>1261</v>
      </c>
      <c r="D321" t="s">
        <v>160</v>
      </c>
      <c r="E321" t="s">
        <v>1262</v>
      </c>
      <c r="F321">
        <v>65</v>
      </c>
      <c r="J321" t="s">
        <v>1263</v>
      </c>
      <c r="K321" t="s">
        <v>1405</v>
      </c>
    </row>
    <row r="322" spans="1:11" x14ac:dyDescent="0.25">
      <c r="A322" t="s">
        <v>902</v>
      </c>
      <c r="B322" t="s">
        <v>901</v>
      </c>
      <c r="C322" t="s">
        <v>1261</v>
      </c>
      <c r="D322" t="s">
        <v>160</v>
      </c>
      <c r="E322" t="s">
        <v>1262</v>
      </c>
      <c r="F322">
        <v>10</v>
      </c>
      <c r="J322" t="s">
        <v>1263</v>
      </c>
      <c r="K322" t="s">
        <v>1395</v>
      </c>
    </row>
    <row r="323" spans="1:11" x14ac:dyDescent="0.25">
      <c r="A323" t="s">
        <v>905</v>
      </c>
      <c r="B323" t="s">
        <v>904</v>
      </c>
      <c r="C323" t="s">
        <v>1261</v>
      </c>
      <c r="D323" t="s">
        <v>160</v>
      </c>
      <c r="E323" t="s">
        <v>1262</v>
      </c>
      <c r="F323">
        <v>15</v>
      </c>
      <c r="J323" t="s">
        <v>1263</v>
      </c>
      <c r="K323" t="s">
        <v>1436</v>
      </c>
    </row>
    <row r="324" spans="1:11" x14ac:dyDescent="0.25">
      <c r="A324" t="s">
        <v>908</v>
      </c>
      <c r="B324" t="s">
        <v>907</v>
      </c>
      <c r="C324" t="s">
        <v>1261</v>
      </c>
      <c r="D324" t="s">
        <v>160</v>
      </c>
      <c r="E324" t="s">
        <v>1262</v>
      </c>
      <c r="F324">
        <v>15</v>
      </c>
      <c r="J324" t="s">
        <v>1263</v>
      </c>
      <c r="K324" t="s">
        <v>1436</v>
      </c>
    </row>
    <row r="325" spans="1:11" x14ac:dyDescent="0.25">
      <c r="A325" t="s">
        <v>910</v>
      </c>
      <c r="B325" t="s">
        <v>909</v>
      </c>
      <c r="C325" t="s">
        <v>1261</v>
      </c>
      <c r="D325" t="s">
        <v>160</v>
      </c>
      <c r="E325" t="s">
        <v>1262</v>
      </c>
      <c r="F325">
        <v>16</v>
      </c>
      <c r="J325" t="s">
        <v>1263</v>
      </c>
      <c r="K325" t="s">
        <v>1437</v>
      </c>
    </row>
    <row r="326" spans="1:11" x14ac:dyDescent="0.25">
      <c r="A326" t="s">
        <v>912</v>
      </c>
      <c r="B326" t="s">
        <v>911</v>
      </c>
      <c r="C326" t="s">
        <v>1261</v>
      </c>
      <c r="D326" t="s">
        <v>160</v>
      </c>
      <c r="E326" t="s">
        <v>1262</v>
      </c>
      <c r="F326">
        <v>44.1</v>
      </c>
      <c r="J326" t="s">
        <v>1263</v>
      </c>
      <c r="K326" t="s">
        <v>1438</v>
      </c>
    </row>
    <row r="327" spans="1:11" x14ac:dyDescent="0.25">
      <c r="A327" t="s">
        <v>914</v>
      </c>
      <c r="B327" t="s">
        <v>913</v>
      </c>
      <c r="C327" t="s">
        <v>1261</v>
      </c>
      <c r="D327" t="s">
        <v>160</v>
      </c>
      <c r="E327" t="s">
        <v>1262</v>
      </c>
      <c r="F327">
        <v>16.91</v>
      </c>
      <c r="J327" t="s">
        <v>1263</v>
      </c>
      <c r="K327" t="s">
        <v>1385</v>
      </c>
    </row>
    <row r="328" spans="1:11" x14ac:dyDescent="0.25">
      <c r="A328" t="s">
        <v>916</v>
      </c>
      <c r="B328" t="s">
        <v>915</v>
      </c>
      <c r="C328" t="s">
        <v>1327</v>
      </c>
      <c r="J328" t="s">
        <v>1263</v>
      </c>
    </row>
    <row r="329" spans="1:11" x14ac:dyDescent="0.25">
      <c r="A329" t="s">
        <v>918</v>
      </c>
      <c r="B329" t="s">
        <v>917</v>
      </c>
      <c r="C329" t="s">
        <v>1327</v>
      </c>
      <c r="J329" t="s">
        <v>1263</v>
      </c>
    </row>
    <row r="330" spans="1:11" x14ac:dyDescent="0.25">
      <c r="A330" t="s">
        <v>920</v>
      </c>
      <c r="B330" t="s">
        <v>919</v>
      </c>
      <c r="C330" t="s">
        <v>1261</v>
      </c>
      <c r="D330" t="s">
        <v>160</v>
      </c>
      <c r="E330" t="s">
        <v>1262</v>
      </c>
      <c r="F330">
        <v>55</v>
      </c>
      <c r="J330" t="s">
        <v>1263</v>
      </c>
      <c r="K330" t="s">
        <v>1366</v>
      </c>
    </row>
    <row r="331" spans="1:11" x14ac:dyDescent="0.25">
      <c r="A331" t="s">
        <v>922</v>
      </c>
      <c r="B331" t="s">
        <v>921</v>
      </c>
      <c r="C331" t="s">
        <v>1261</v>
      </c>
      <c r="D331" t="s">
        <v>160</v>
      </c>
      <c r="E331" t="s">
        <v>1262</v>
      </c>
      <c r="F331">
        <v>80</v>
      </c>
      <c r="J331" t="s">
        <v>1263</v>
      </c>
      <c r="K331" t="s">
        <v>1439</v>
      </c>
    </row>
    <row r="332" spans="1:11" x14ac:dyDescent="0.25">
      <c r="A332" t="s">
        <v>924</v>
      </c>
      <c r="B332" t="s">
        <v>923</v>
      </c>
      <c r="C332" t="s">
        <v>1327</v>
      </c>
      <c r="J332" t="s">
        <v>1263</v>
      </c>
    </row>
    <row r="333" spans="1:11" x14ac:dyDescent="0.25">
      <c r="A333" t="s">
        <v>926</v>
      </c>
      <c r="B333" t="s">
        <v>925</v>
      </c>
      <c r="C333" t="s">
        <v>1327</v>
      </c>
      <c r="J333" t="s">
        <v>1263</v>
      </c>
    </row>
    <row r="334" spans="1:11" x14ac:dyDescent="0.25">
      <c r="A334" t="s">
        <v>930</v>
      </c>
      <c r="B334" t="s">
        <v>929</v>
      </c>
      <c r="C334" t="s">
        <v>1261</v>
      </c>
      <c r="D334" t="s">
        <v>160</v>
      </c>
      <c r="E334" t="s">
        <v>1262</v>
      </c>
      <c r="F334">
        <v>80</v>
      </c>
      <c r="J334" t="s">
        <v>1263</v>
      </c>
      <c r="K334" t="s">
        <v>1440</v>
      </c>
    </row>
    <row r="335" spans="1:11" x14ac:dyDescent="0.25">
      <c r="A335" t="s">
        <v>932</v>
      </c>
      <c r="B335" t="s">
        <v>931</v>
      </c>
      <c r="C335" t="s">
        <v>1261</v>
      </c>
      <c r="D335" t="s">
        <v>160</v>
      </c>
      <c r="E335" t="s">
        <v>1262</v>
      </c>
      <c r="F335">
        <v>82.5</v>
      </c>
      <c r="J335" t="s">
        <v>1263</v>
      </c>
      <c r="K335" t="s">
        <v>1350</v>
      </c>
    </row>
    <row r="336" spans="1:11" x14ac:dyDescent="0.25">
      <c r="A336" t="s">
        <v>935</v>
      </c>
      <c r="B336" t="s">
        <v>934</v>
      </c>
      <c r="C336" t="s">
        <v>1327</v>
      </c>
      <c r="J336" t="s">
        <v>1263</v>
      </c>
    </row>
    <row r="337" spans="1:11" x14ac:dyDescent="0.25">
      <c r="A337" t="s">
        <v>939</v>
      </c>
      <c r="B337" t="s">
        <v>938</v>
      </c>
      <c r="C337" t="s">
        <v>1327</v>
      </c>
      <c r="J337" t="s">
        <v>1263</v>
      </c>
    </row>
    <row r="338" spans="1:11" x14ac:dyDescent="0.25">
      <c r="A338" t="s">
        <v>942</v>
      </c>
      <c r="B338" t="s">
        <v>941</v>
      </c>
      <c r="C338" t="s">
        <v>1327</v>
      </c>
      <c r="J338" t="s">
        <v>1263</v>
      </c>
    </row>
    <row r="339" spans="1:11" x14ac:dyDescent="0.25">
      <c r="A339" t="s">
        <v>944</v>
      </c>
      <c r="B339" t="s">
        <v>943</v>
      </c>
      <c r="C339" t="s">
        <v>1261</v>
      </c>
      <c r="D339" t="s">
        <v>160</v>
      </c>
      <c r="E339" t="s">
        <v>1262</v>
      </c>
      <c r="F339">
        <v>125</v>
      </c>
      <c r="J339" t="s">
        <v>1263</v>
      </c>
      <c r="K339" t="s">
        <v>1421</v>
      </c>
    </row>
    <row r="340" spans="1:11" x14ac:dyDescent="0.25">
      <c r="A340" t="s">
        <v>945</v>
      </c>
      <c r="B340" t="s">
        <v>1393</v>
      </c>
      <c r="C340" t="s">
        <v>1327</v>
      </c>
      <c r="J340" t="s">
        <v>1263</v>
      </c>
    </row>
    <row r="341" spans="1:11" x14ac:dyDescent="0.25">
      <c r="A341" t="s">
        <v>947</v>
      </c>
      <c r="B341" t="s">
        <v>946</v>
      </c>
      <c r="C341" t="s">
        <v>1261</v>
      </c>
      <c r="D341" t="s">
        <v>160</v>
      </c>
      <c r="E341" t="s">
        <v>1262</v>
      </c>
      <c r="F341">
        <v>75</v>
      </c>
      <c r="J341" t="s">
        <v>1263</v>
      </c>
      <c r="K341" t="s">
        <v>1394</v>
      </c>
    </row>
    <row r="342" spans="1:11" x14ac:dyDescent="0.25">
      <c r="A342" t="s">
        <v>950</v>
      </c>
      <c r="B342" t="s">
        <v>949</v>
      </c>
      <c r="C342" t="s">
        <v>1261</v>
      </c>
      <c r="D342" t="s">
        <v>160</v>
      </c>
      <c r="E342" t="s">
        <v>1262</v>
      </c>
      <c r="F342">
        <v>45</v>
      </c>
      <c r="J342" t="s">
        <v>1263</v>
      </c>
      <c r="K342" t="s">
        <v>1441</v>
      </c>
    </row>
    <row r="343" spans="1:11" x14ac:dyDescent="0.25">
      <c r="A343" t="s">
        <v>952</v>
      </c>
      <c r="B343" t="s">
        <v>951</v>
      </c>
      <c r="C343" t="s">
        <v>1327</v>
      </c>
      <c r="J343" t="s">
        <v>1263</v>
      </c>
    </row>
    <row r="344" spans="1:11" x14ac:dyDescent="0.25">
      <c r="A344" t="s">
        <v>955</v>
      </c>
      <c r="B344" t="s">
        <v>954</v>
      </c>
      <c r="C344" t="s">
        <v>1327</v>
      </c>
      <c r="J344" t="s">
        <v>1263</v>
      </c>
    </row>
    <row r="345" spans="1:11" x14ac:dyDescent="0.25">
      <c r="A345" t="s">
        <v>957</v>
      </c>
      <c r="B345" t="s">
        <v>956</v>
      </c>
      <c r="C345" t="s">
        <v>1327</v>
      </c>
      <c r="J345" t="s">
        <v>1263</v>
      </c>
    </row>
    <row r="346" spans="1:11" x14ac:dyDescent="0.25">
      <c r="A346" t="s">
        <v>959</v>
      </c>
      <c r="B346" t="s">
        <v>958</v>
      </c>
      <c r="C346" t="s">
        <v>1327</v>
      </c>
      <c r="J346" t="s">
        <v>1263</v>
      </c>
    </row>
    <row r="347" spans="1:11" x14ac:dyDescent="0.25">
      <c r="A347" t="s">
        <v>961</v>
      </c>
      <c r="B347" t="s">
        <v>960</v>
      </c>
      <c r="C347" t="s">
        <v>1327</v>
      </c>
      <c r="J347" t="s">
        <v>1263</v>
      </c>
    </row>
    <row r="348" spans="1:11" x14ac:dyDescent="0.25">
      <c r="A348" t="s">
        <v>963</v>
      </c>
      <c r="B348" t="s">
        <v>962</v>
      </c>
      <c r="C348" t="s">
        <v>1327</v>
      </c>
      <c r="J348" t="s">
        <v>1263</v>
      </c>
    </row>
    <row r="349" spans="1:11" x14ac:dyDescent="0.25">
      <c r="A349" t="s">
        <v>966</v>
      </c>
      <c r="B349" t="s">
        <v>965</v>
      </c>
      <c r="C349" t="s">
        <v>1327</v>
      </c>
      <c r="J349" t="s">
        <v>1263</v>
      </c>
    </row>
    <row r="350" spans="1:11" x14ac:dyDescent="0.25">
      <c r="A350" t="s">
        <v>968</v>
      </c>
      <c r="B350" t="s">
        <v>967</v>
      </c>
      <c r="C350" t="s">
        <v>1327</v>
      </c>
      <c r="J350" t="s">
        <v>1263</v>
      </c>
    </row>
    <row r="351" spans="1:11" x14ac:dyDescent="0.25">
      <c r="A351" t="s">
        <v>971</v>
      </c>
      <c r="B351" t="s">
        <v>970</v>
      </c>
      <c r="C351" t="s">
        <v>1261</v>
      </c>
      <c r="D351" t="s">
        <v>160</v>
      </c>
      <c r="E351" t="s">
        <v>1262</v>
      </c>
      <c r="F351">
        <v>75</v>
      </c>
      <c r="J351" t="s">
        <v>1263</v>
      </c>
      <c r="K351" t="s">
        <v>1442</v>
      </c>
    </row>
    <row r="352" spans="1:11" x14ac:dyDescent="0.25">
      <c r="A352" t="s">
        <v>973</v>
      </c>
      <c r="B352" t="s">
        <v>970</v>
      </c>
      <c r="C352" t="s">
        <v>1261</v>
      </c>
      <c r="D352" t="s">
        <v>160</v>
      </c>
      <c r="E352" t="s">
        <v>1262</v>
      </c>
      <c r="F352">
        <v>75</v>
      </c>
      <c r="J352" t="s">
        <v>1263</v>
      </c>
      <c r="K352" t="s">
        <v>1436</v>
      </c>
    </row>
    <row r="353" spans="1:11" x14ac:dyDescent="0.25">
      <c r="A353" t="s">
        <v>974</v>
      </c>
      <c r="B353" t="s">
        <v>970</v>
      </c>
      <c r="C353" t="s">
        <v>1261</v>
      </c>
      <c r="D353" t="s">
        <v>160</v>
      </c>
      <c r="E353" t="s">
        <v>1262</v>
      </c>
      <c r="F353">
        <v>75</v>
      </c>
      <c r="J353" t="s">
        <v>1263</v>
      </c>
      <c r="K353" t="s">
        <v>1436</v>
      </c>
    </row>
    <row r="354" spans="1:11" x14ac:dyDescent="0.25">
      <c r="A354" t="s">
        <v>976</v>
      </c>
      <c r="B354" t="s">
        <v>975</v>
      </c>
      <c r="C354" t="s">
        <v>1261</v>
      </c>
      <c r="D354" t="s">
        <v>160</v>
      </c>
      <c r="E354" t="s">
        <v>1262</v>
      </c>
      <c r="F354">
        <v>59.05</v>
      </c>
      <c r="J354" t="s">
        <v>1263</v>
      </c>
      <c r="K354" t="s">
        <v>1353</v>
      </c>
    </row>
    <row r="355" spans="1:11" x14ac:dyDescent="0.25">
      <c r="A355" t="s">
        <v>977</v>
      </c>
      <c r="B355" t="s">
        <v>975</v>
      </c>
      <c r="C355" t="s">
        <v>1327</v>
      </c>
      <c r="J355" t="s">
        <v>1263</v>
      </c>
    </row>
    <row r="356" spans="1:11" x14ac:dyDescent="0.25">
      <c r="A356" t="s">
        <v>978</v>
      </c>
      <c r="B356" t="s">
        <v>975</v>
      </c>
      <c r="C356" t="s">
        <v>1261</v>
      </c>
      <c r="D356" t="s">
        <v>160</v>
      </c>
      <c r="E356" t="s">
        <v>1262</v>
      </c>
      <c r="F356">
        <v>70</v>
      </c>
      <c r="J356" t="s">
        <v>1263</v>
      </c>
      <c r="K356" t="s">
        <v>1402</v>
      </c>
    </row>
    <row r="357" spans="1:11" x14ac:dyDescent="0.25">
      <c r="A357" t="s">
        <v>980</v>
      </c>
      <c r="B357" t="s">
        <v>979</v>
      </c>
      <c r="C357" t="s">
        <v>1327</v>
      </c>
      <c r="J357" t="s">
        <v>1263</v>
      </c>
    </row>
    <row r="358" spans="1:11" x14ac:dyDescent="0.25">
      <c r="A358" t="s">
        <v>982</v>
      </c>
      <c r="B358" t="s">
        <v>981</v>
      </c>
      <c r="C358" t="s">
        <v>1327</v>
      </c>
      <c r="J358" t="s">
        <v>1263</v>
      </c>
    </row>
    <row r="359" spans="1:11" x14ac:dyDescent="0.25">
      <c r="A359" t="s">
        <v>984</v>
      </c>
      <c r="B359" t="s">
        <v>983</v>
      </c>
      <c r="C359" t="s">
        <v>1327</v>
      </c>
      <c r="J359" t="s">
        <v>1263</v>
      </c>
    </row>
    <row r="360" spans="1:11" x14ac:dyDescent="0.25">
      <c r="A360" t="s">
        <v>986</v>
      </c>
      <c r="B360" t="s">
        <v>985</v>
      </c>
      <c r="C360" t="s">
        <v>1327</v>
      </c>
      <c r="J360" t="s">
        <v>1263</v>
      </c>
    </row>
    <row r="361" spans="1:11" x14ac:dyDescent="0.25">
      <c r="A361" t="s">
        <v>990</v>
      </c>
      <c r="B361" t="s">
        <v>989</v>
      </c>
      <c r="C361" t="s">
        <v>1327</v>
      </c>
      <c r="J361" t="s">
        <v>1263</v>
      </c>
    </row>
    <row r="362" spans="1:11" x14ac:dyDescent="0.25">
      <c r="A362" t="s">
        <v>993</v>
      </c>
      <c r="B362" t="s">
        <v>992</v>
      </c>
      <c r="C362" t="s">
        <v>1327</v>
      </c>
      <c r="J362" t="s">
        <v>1263</v>
      </c>
    </row>
    <row r="363" spans="1:11" x14ac:dyDescent="0.25">
      <c r="A363" t="s">
        <v>995</v>
      </c>
      <c r="B363" t="s">
        <v>994</v>
      </c>
      <c r="C363" t="s">
        <v>1327</v>
      </c>
      <c r="J363" t="s">
        <v>1263</v>
      </c>
    </row>
    <row r="364" spans="1:11" x14ac:dyDescent="0.25">
      <c r="A364" t="s">
        <v>997</v>
      </c>
      <c r="B364" t="s">
        <v>996</v>
      </c>
      <c r="C364" t="s">
        <v>1327</v>
      </c>
      <c r="J364" t="s">
        <v>1263</v>
      </c>
    </row>
    <row r="365" spans="1:11" x14ac:dyDescent="0.25">
      <c r="A365" t="s">
        <v>1000</v>
      </c>
      <c r="B365" t="s">
        <v>999</v>
      </c>
      <c r="C365" t="s">
        <v>1327</v>
      </c>
      <c r="J365" t="s">
        <v>1263</v>
      </c>
    </row>
    <row r="366" spans="1:11" x14ac:dyDescent="0.25">
      <c r="A366" t="s">
        <v>1002</v>
      </c>
      <c r="B366" t="s">
        <v>1001</v>
      </c>
      <c r="C366" t="s">
        <v>1327</v>
      </c>
      <c r="J366" t="s">
        <v>1263</v>
      </c>
    </row>
    <row r="367" spans="1:11" x14ac:dyDescent="0.25">
      <c r="A367" t="s">
        <v>1004</v>
      </c>
      <c r="B367" t="s">
        <v>1003</v>
      </c>
      <c r="C367" t="s">
        <v>1261</v>
      </c>
      <c r="D367" t="s">
        <v>160</v>
      </c>
      <c r="E367" t="s">
        <v>1262</v>
      </c>
      <c r="F367">
        <v>65</v>
      </c>
      <c r="J367" t="s">
        <v>1263</v>
      </c>
      <c r="K367" t="s">
        <v>1423</v>
      </c>
    </row>
    <row r="368" spans="1:11" x14ac:dyDescent="0.25">
      <c r="A368" t="s">
        <v>1006</v>
      </c>
      <c r="B368" t="s">
        <v>1005</v>
      </c>
      <c r="C368" t="s">
        <v>1327</v>
      </c>
      <c r="J368" t="s">
        <v>1263</v>
      </c>
    </row>
    <row r="369" spans="1:11" x14ac:dyDescent="0.25">
      <c r="A369" t="s">
        <v>1009</v>
      </c>
      <c r="B369" t="s">
        <v>1008</v>
      </c>
      <c r="C369" t="s">
        <v>1443</v>
      </c>
      <c r="J369" t="s">
        <v>1263</v>
      </c>
    </row>
    <row r="370" spans="1:11" x14ac:dyDescent="0.25">
      <c r="A370" t="s">
        <v>1012</v>
      </c>
      <c r="B370" t="s">
        <v>1011</v>
      </c>
      <c r="C370" t="s">
        <v>1443</v>
      </c>
      <c r="J370" t="s">
        <v>1263</v>
      </c>
    </row>
    <row r="371" spans="1:11" x14ac:dyDescent="0.25">
      <c r="A371" t="s">
        <v>1014</v>
      </c>
      <c r="B371" t="s">
        <v>1013</v>
      </c>
      <c r="C371" t="s">
        <v>1443</v>
      </c>
      <c r="J371" t="s">
        <v>1263</v>
      </c>
    </row>
    <row r="372" spans="1:11" x14ac:dyDescent="0.25">
      <c r="A372" t="s">
        <v>1017</v>
      </c>
      <c r="B372" t="s">
        <v>1016</v>
      </c>
      <c r="C372" t="s">
        <v>1443</v>
      </c>
      <c r="J372" t="s">
        <v>1263</v>
      </c>
    </row>
    <row r="373" spans="1:11" x14ac:dyDescent="0.25">
      <c r="A373" t="s">
        <v>1021</v>
      </c>
      <c r="B373" t="s">
        <v>1020</v>
      </c>
      <c r="C373" t="s">
        <v>1443</v>
      </c>
      <c r="J373" t="s">
        <v>1263</v>
      </c>
    </row>
    <row r="374" spans="1:11" x14ac:dyDescent="0.25">
      <c r="A374" t="s">
        <v>1023</v>
      </c>
      <c r="B374" t="s">
        <v>1022</v>
      </c>
      <c r="C374" t="s">
        <v>1443</v>
      </c>
      <c r="J374" t="s">
        <v>1263</v>
      </c>
    </row>
    <row r="375" spans="1:11" x14ac:dyDescent="0.25">
      <c r="A375" t="s">
        <v>1025</v>
      </c>
      <c r="B375" t="s">
        <v>1024</v>
      </c>
      <c r="C375" t="s">
        <v>1443</v>
      </c>
      <c r="J375" t="s">
        <v>1263</v>
      </c>
    </row>
    <row r="376" spans="1:11" x14ac:dyDescent="0.25">
      <c r="A376" t="s">
        <v>1029</v>
      </c>
      <c r="B376" t="s">
        <v>1028</v>
      </c>
      <c r="C376" t="s">
        <v>1443</v>
      </c>
      <c r="J376" t="s">
        <v>1263</v>
      </c>
    </row>
    <row r="377" spans="1:11" x14ac:dyDescent="0.25">
      <c r="A377" t="s">
        <v>1032</v>
      </c>
      <c r="B377" t="s">
        <v>1031</v>
      </c>
      <c r="C377" t="s">
        <v>1443</v>
      </c>
      <c r="J377" t="s">
        <v>1263</v>
      </c>
    </row>
    <row r="378" spans="1:11" x14ac:dyDescent="0.25">
      <c r="A378" t="s">
        <v>1035</v>
      </c>
      <c r="B378" t="s">
        <v>1034</v>
      </c>
      <c r="C378" t="s">
        <v>1443</v>
      </c>
      <c r="J378" t="s">
        <v>1263</v>
      </c>
    </row>
    <row r="379" spans="1:11" x14ac:dyDescent="0.25">
      <c r="A379" t="s">
        <v>1038</v>
      </c>
      <c r="B379" t="s">
        <v>1037</v>
      </c>
      <c r="C379" t="s">
        <v>1443</v>
      </c>
      <c r="J379" t="s">
        <v>1263</v>
      </c>
    </row>
    <row r="380" spans="1:11" x14ac:dyDescent="0.25">
      <c r="A380" t="s">
        <v>1041</v>
      </c>
      <c r="B380" t="s">
        <v>1040</v>
      </c>
      <c r="C380" t="s">
        <v>1443</v>
      </c>
      <c r="J380" t="s">
        <v>1263</v>
      </c>
    </row>
    <row r="381" spans="1:11" x14ac:dyDescent="0.25">
      <c r="A381" t="s">
        <v>1042</v>
      </c>
      <c r="B381" t="s">
        <v>851</v>
      </c>
      <c r="C381" t="s">
        <v>1327</v>
      </c>
      <c r="J381" t="s">
        <v>1263</v>
      </c>
    </row>
    <row r="382" spans="1:11" x14ac:dyDescent="0.25">
      <c r="A382" t="s">
        <v>1044</v>
      </c>
      <c r="B382" t="s">
        <v>1043</v>
      </c>
      <c r="C382" t="s">
        <v>1261</v>
      </c>
      <c r="D382" t="s">
        <v>160</v>
      </c>
      <c r="E382" t="s">
        <v>1262</v>
      </c>
      <c r="F382">
        <v>99</v>
      </c>
      <c r="J382" t="s">
        <v>1263</v>
      </c>
      <c r="K382" t="s">
        <v>1444</v>
      </c>
    </row>
    <row r="383" spans="1:11" x14ac:dyDescent="0.25">
      <c r="A383" t="s">
        <v>1046</v>
      </c>
      <c r="B383" t="s">
        <v>1045</v>
      </c>
      <c r="C383" t="s">
        <v>1327</v>
      </c>
      <c r="J383" t="s">
        <v>1263</v>
      </c>
    </row>
    <row r="384" spans="1:11" x14ac:dyDescent="0.25">
      <c r="A384" t="s">
        <v>1048</v>
      </c>
      <c r="B384" t="s">
        <v>1047</v>
      </c>
      <c r="C384" t="s">
        <v>1327</v>
      </c>
      <c r="J384" t="s">
        <v>1263</v>
      </c>
    </row>
    <row r="385" spans="1:11" x14ac:dyDescent="0.25">
      <c r="A385" t="s">
        <v>1052</v>
      </c>
      <c r="B385" t="s">
        <v>1051</v>
      </c>
      <c r="C385" t="s">
        <v>1327</v>
      </c>
      <c r="J385" t="s">
        <v>1263</v>
      </c>
    </row>
    <row r="386" spans="1:11" x14ac:dyDescent="0.25">
      <c r="A386" t="s">
        <v>1054</v>
      </c>
      <c r="B386" t="s">
        <v>1053</v>
      </c>
      <c r="C386" t="s">
        <v>1327</v>
      </c>
      <c r="J386" t="s">
        <v>1263</v>
      </c>
    </row>
    <row r="387" spans="1:11" x14ac:dyDescent="0.25">
      <c r="A387" t="s">
        <v>1056</v>
      </c>
      <c r="B387" t="s">
        <v>1055</v>
      </c>
      <c r="C387" t="s">
        <v>1327</v>
      </c>
      <c r="J387" t="s">
        <v>1263</v>
      </c>
    </row>
    <row r="388" spans="1:11" x14ac:dyDescent="0.25">
      <c r="A388" t="s">
        <v>1058</v>
      </c>
      <c r="B388" t="s">
        <v>1057</v>
      </c>
      <c r="C388" t="s">
        <v>1261</v>
      </c>
      <c r="D388" t="s">
        <v>160</v>
      </c>
      <c r="E388" t="s">
        <v>1262</v>
      </c>
      <c r="F388">
        <v>105</v>
      </c>
      <c r="J388" t="s">
        <v>1263</v>
      </c>
      <c r="K388" t="s">
        <v>1420</v>
      </c>
    </row>
    <row r="389" spans="1:11" x14ac:dyDescent="0.25">
      <c r="A389" t="s">
        <v>1060</v>
      </c>
      <c r="B389" t="s">
        <v>1059</v>
      </c>
      <c r="C389" t="s">
        <v>1261</v>
      </c>
      <c r="D389" t="s">
        <v>160</v>
      </c>
      <c r="E389" t="s">
        <v>1262</v>
      </c>
      <c r="F389">
        <v>85</v>
      </c>
      <c r="J389" t="s">
        <v>1263</v>
      </c>
      <c r="K389" t="s">
        <v>1423</v>
      </c>
    </row>
    <row r="390" spans="1:11" x14ac:dyDescent="0.25">
      <c r="A390" t="s">
        <v>1062</v>
      </c>
      <c r="B390" t="s">
        <v>1061</v>
      </c>
      <c r="C390" t="s">
        <v>1261</v>
      </c>
      <c r="D390" t="s">
        <v>160</v>
      </c>
      <c r="E390" t="s">
        <v>1262</v>
      </c>
      <c r="F390">
        <v>99</v>
      </c>
      <c r="J390" t="s">
        <v>1263</v>
      </c>
      <c r="K390" t="s">
        <v>1422</v>
      </c>
    </row>
    <row r="391" spans="1:11" x14ac:dyDescent="0.25">
      <c r="A391" t="s">
        <v>1064</v>
      </c>
      <c r="B391" t="s">
        <v>1063</v>
      </c>
      <c r="C391" t="s">
        <v>1261</v>
      </c>
      <c r="D391" t="s">
        <v>160</v>
      </c>
      <c r="E391" t="s">
        <v>1262</v>
      </c>
      <c r="F391">
        <v>80</v>
      </c>
      <c r="J391" t="s">
        <v>1263</v>
      </c>
      <c r="K391" t="s">
        <v>1409</v>
      </c>
    </row>
    <row r="392" spans="1:11" x14ac:dyDescent="0.25">
      <c r="A392" t="s">
        <v>1067</v>
      </c>
      <c r="B392" t="s">
        <v>1066</v>
      </c>
      <c r="C392" t="s">
        <v>1327</v>
      </c>
      <c r="J392" t="s">
        <v>1263</v>
      </c>
    </row>
    <row r="393" spans="1:11" x14ac:dyDescent="0.25">
      <c r="A393" t="s">
        <v>1069</v>
      </c>
      <c r="B393" t="s">
        <v>783</v>
      </c>
      <c r="C393" t="s">
        <v>1327</v>
      </c>
      <c r="J393" t="s">
        <v>1263</v>
      </c>
    </row>
    <row r="394" spans="1:11" x14ac:dyDescent="0.25">
      <c r="A394" t="s">
        <v>1072</v>
      </c>
      <c r="B394" t="s">
        <v>1071</v>
      </c>
      <c r="C394" t="s">
        <v>1261</v>
      </c>
      <c r="D394" t="s">
        <v>160</v>
      </c>
      <c r="E394" t="s">
        <v>1262</v>
      </c>
      <c r="F394">
        <v>115</v>
      </c>
      <c r="J394" t="s">
        <v>1263</v>
      </c>
      <c r="K394" t="s">
        <v>1409</v>
      </c>
    </row>
    <row r="395" spans="1:11" x14ac:dyDescent="0.25">
      <c r="A395" t="s">
        <v>1075</v>
      </c>
      <c r="B395" t="s">
        <v>1074</v>
      </c>
      <c r="C395" t="s">
        <v>1261</v>
      </c>
      <c r="D395" t="s">
        <v>160</v>
      </c>
      <c r="E395" t="s">
        <v>1262</v>
      </c>
      <c r="F395">
        <v>110</v>
      </c>
      <c r="J395" t="s">
        <v>1263</v>
      </c>
      <c r="K395" t="s">
        <v>1409</v>
      </c>
    </row>
    <row r="396" spans="1:11" x14ac:dyDescent="0.25">
      <c r="A396" t="s">
        <v>1078</v>
      </c>
      <c r="B396" t="s">
        <v>1077</v>
      </c>
      <c r="C396" t="s">
        <v>1327</v>
      </c>
      <c r="J396" t="s">
        <v>1263</v>
      </c>
    </row>
    <row r="397" spans="1:11" x14ac:dyDescent="0.25">
      <c r="A397" t="s">
        <v>1079</v>
      </c>
      <c r="B397" t="s">
        <v>1393</v>
      </c>
      <c r="C397" t="s">
        <v>1445</v>
      </c>
      <c r="J397" t="s">
        <v>1263</v>
      </c>
    </row>
    <row r="398" spans="1:11" x14ac:dyDescent="0.25">
      <c r="A398" t="s">
        <v>1082</v>
      </c>
      <c r="B398" t="s">
        <v>1081</v>
      </c>
      <c r="C398" t="s">
        <v>1445</v>
      </c>
      <c r="J398" t="s">
        <v>1263</v>
      </c>
    </row>
    <row r="399" spans="1:11" x14ac:dyDescent="0.25">
      <c r="A399" t="s">
        <v>1085</v>
      </c>
      <c r="B399" t="s">
        <v>1084</v>
      </c>
      <c r="C399" t="s">
        <v>1445</v>
      </c>
      <c r="J399" t="s">
        <v>1263</v>
      </c>
    </row>
    <row r="400" spans="1:11" x14ac:dyDescent="0.25">
      <c r="A400" t="s">
        <v>1089</v>
      </c>
      <c r="B400" t="s">
        <v>1088</v>
      </c>
      <c r="C400" t="s">
        <v>1445</v>
      </c>
      <c r="J400" t="s">
        <v>1263</v>
      </c>
    </row>
    <row r="401" spans="1:11" x14ac:dyDescent="0.25">
      <c r="A401" t="s">
        <v>1091</v>
      </c>
      <c r="B401" t="s">
        <v>1090</v>
      </c>
      <c r="C401" t="s">
        <v>1445</v>
      </c>
      <c r="J401" t="s">
        <v>1263</v>
      </c>
    </row>
    <row r="402" spans="1:11" x14ac:dyDescent="0.25">
      <c r="A402" t="s">
        <v>1093</v>
      </c>
      <c r="B402" t="s">
        <v>1092</v>
      </c>
      <c r="C402" t="s">
        <v>1445</v>
      </c>
      <c r="J402" t="s">
        <v>1263</v>
      </c>
    </row>
    <row r="403" spans="1:11" x14ac:dyDescent="0.25">
      <c r="A403" t="s">
        <v>1095</v>
      </c>
      <c r="B403" t="s">
        <v>1094</v>
      </c>
      <c r="C403" t="s">
        <v>1445</v>
      </c>
      <c r="J403" t="s">
        <v>1263</v>
      </c>
    </row>
    <row r="404" spans="1:11" x14ac:dyDescent="0.25">
      <c r="A404" t="s">
        <v>1097</v>
      </c>
      <c r="B404" t="s">
        <v>1096</v>
      </c>
      <c r="C404" t="s">
        <v>1445</v>
      </c>
      <c r="J404" t="s">
        <v>1263</v>
      </c>
    </row>
    <row r="405" spans="1:11" x14ac:dyDescent="0.25">
      <c r="A405" t="s">
        <v>1099</v>
      </c>
      <c r="B405" t="s">
        <v>1098</v>
      </c>
      <c r="C405" t="s">
        <v>1445</v>
      </c>
      <c r="J405" t="s">
        <v>1263</v>
      </c>
    </row>
    <row r="406" spans="1:11" x14ac:dyDescent="0.25">
      <c r="A406" t="s">
        <v>1101</v>
      </c>
      <c r="B406" t="s">
        <v>1100</v>
      </c>
      <c r="C406" t="s">
        <v>1445</v>
      </c>
      <c r="J406" t="s">
        <v>1263</v>
      </c>
    </row>
    <row r="407" spans="1:11" x14ac:dyDescent="0.25">
      <c r="A407" t="s">
        <v>1103</v>
      </c>
      <c r="B407" t="s">
        <v>1102</v>
      </c>
      <c r="C407" t="s">
        <v>1445</v>
      </c>
      <c r="J407" t="s">
        <v>1263</v>
      </c>
    </row>
    <row r="408" spans="1:11" x14ac:dyDescent="0.25">
      <c r="A408" t="s">
        <v>1105</v>
      </c>
      <c r="B408" t="s">
        <v>1104</v>
      </c>
      <c r="C408" t="s">
        <v>1445</v>
      </c>
      <c r="J408" t="s">
        <v>1263</v>
      </c>
    </row>
    <row r="409" spans="1:11" x14ac:dyDescent="0.25">
      <c r="A409" t="s">
        <v>1108</v>
      </c>
      <c r="B409" t="s">
        <v>1107</v>
      </c>
      <c r="C409" t="s">
        <v>1445</v>
      </c>
      <c r="J409" t="s">
        <v>1263</v>
      </c>
    </row>
    <row r="410" spans="1:11" x14ac:dyDescent="0.25">
      <c r="A410" t="s">
        <v>1112</v>
      </c>
      <c r="B410" t="s">
        <v>1111</v>
      </c>
      <c r="C410" t="s">
        <v>1445</v>
      </c>
      <c r="J410" t="s">
        <v>1263</v>
      </c>
    </row>
    <row r="411" spans="1:11" x14ac:dyDescent="0.25">
      <c r="A411" t="s">
        <v>1113</v>
      </c>
      <c r="B411" t="s">
        <v>1045</v>
      </c>
      <c r="C411" t="s">
        <v>1443</v>
      </c>
      <c r="J411" t="s">
        <v>1263</v>
      </c>
    </row>
    <row r="412" spans="1:11" x14ac:dyDescent="0.25">
      <c r="A412" t="s">
        <v>1115</v>
      </c>
      <c r="B412" t="s">
        <v>1114</v>
      </c>
      <c r="C412" t="s">
        <v>1443</v>
      </c>
      <c r="J412" t="s">
        <v>1263</v>
      </c>
    </row>
    <row r="413" spans="1:11" x14ac:dyDescent="0.25">
      <c r="A413" t="s">
        <v>1117</v>
      </c>
      <c r="B413" t="s">
        <v>1116</v>
      </c>
      <c r="C413" t="s">
        <v>1443</v>
      </c>
      <c r="J413" t="s">
        <v>1263</v>
      </c>
    </row>
    <row r="414" spans="1:11" x14ac:dyDescent="0.25">
      <c r="A414" t="s">
        <v>1119</v>
      </c>
      <c r="B414" t="s">
        <v>1118</v>
      </c>
      <c r="C414" t="s">
        <v>1443</v>
      </c>
      <c r="J414" t="s">
        <v>1263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3" customWidth="1"/>
    <col min="3" max="3" width="16" customWidth="1"/>
    <col min="4" max="4" width="60" customWidth="1"/>
    <col min="5" max="5" width="22" customWidth="1"/>
    <col min="6" max="6" width="18" customWidth="1"/>
    <col min="7" max="7" width="21" customWidth="1"/>
  </cols>
  <sheetData>
    <row r="1" spans="1:7" x14ac:dyDescent="0.25">
      <c r="A1" t="s">
        <v>128</v>
      </c>
      <c r="B1" t="s">
        <v>1446</v>
      </c>
      <c r="C1" t="s">
        <v>147</v>
      </c>
      <c r="D1" t="s">
        <v>1447</v>
      </c>
      <c r="E1" t="s">
        <v>1448</v>
      </c>
      <c r="F1" t="s">
        <v>1449</v>
      </c>
      <c r="G1" t="s">
        <v>1450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"/>
  </sheetPr>
  <dimension ref="A1:AD847"/>
  <sheetViews>
    <sheetView workbookViewId="0" zoomScale="100" zoomScaleNormal="100">
      <pane xSplit="3" ySplit="1" topLeftCell="D323" activePane="bottomRight" state="frozen"/>
      <selection pane="bottomRight" activeCell="R336" sqref="R336"/>
    </sheetView>
  </sheetViews>
  <sheetFormatPr defaultRowHeight="14.4" outlineLevelRow="0" outlineLevelCol="0" x14ac:dyDescent="0.3" customHeight="1"/>
  <cols>
    <col min="1" max="1" width="11.33203125" customWidth="1"/>
    <col min="2" max="2" width="19.44140625" customWidth="1"/>
    <col min="3" max="3" width="10.5546875" style="126" customWidth="1"/>
    <col min="4" max="4" width="8" style="127" customWidth="1"/>
    <col min="5" max="5" width="6" style="127" customWidth="1"/>
    <col min="6" max="6" width="9.33203125" style="127" customWidth="1"/>
    <col min="7" max="7" width="10.33203125" customWidth="1"/>
    <col min="8" max="8" width="6.33203125" customWidth="1"/>
    <col min="10" max="10" width="7.6640625" customWidth="1"/>
    <col min="11" max="11" width="9.109375" customWidth="1"/>
    <col min="12" max="12" width="9.5546875" customWidth="1"/>
    <col min="13" max="13" width="11" customWidth="1"/>
    <col min="14" max="14" width="10.33203125" customWidth="1"/>
    <col min="15" max="15" width="7.5546875" customWidth="1"/>
    <col min="16" max="16" width="8.33203125" customWidth="1"/>
    <col min="17" max="18" width="11" customWidth="1"/>
    <col min="19" max="19" width="10.5546875" customWidth="1"/>
    <col min="20" max="20" width="8.5546875" customWidth="1"/>
    <col min="21" max="21" width="8.33203125" customWidth="1"/>
    <col min="22" max="22" width="7.33203125" customWidth="1"/>
    <col min="23" max="23" width="7.6640625" customWidth="1"/>
    <col min="24" max="24" width="10.33203125" customWidth="1"/>
    <col min="25" max="25" width="7.33203125" customWidth="1"/>
    <col min="26" max="26" width="9.6640625" customWidth="1"/>
    <col min="27" max="27" width="6.33203125" customWidth="1"/>
    <col min="28" max="28" width="6.88671875" customWidth="1"/>
    <col min="29" max="29" width="8.33203125" customWidth="1"/>
    <col min="30" max="30" width="7.6640625" customWidth="1"/>
    <col min="31" max="31" width="8.5546875" customWidth="1"/>
    <col min="32" max="32" width="7.6640625" customWidth="1"/>
    <col min="33" max="33" width="12.5546875" customWidth="1"/>
    <col min="34" max="34" width="13.33203125" customWidth="1"/>
  </cols>
  <sheetData>
    <row r="1" ht="100.8" customHeight="1" spans="1:30" s="1" customFormat="1" x14ac:dyDescent="0.25">
      <c r="A1" s="128" t="s">
        <v>126</v>
      </c>
      <c r="B1" s="128" t="s">
        <v>127</v>
      </c>
      <c r="C1" s="128" t="s">
        <v>128</v>
      </c>
      <c r="D1" s="129" t="s">
        <v>129</v>
      </c>
      <c r="E1" s="129" t="s">
        <v>130</v>
      </c>
      <c r="F1" s="129" t="s">
        <v>131</v>
      </c>
      <c r="G1" s="128" t="s">
        <v>132</v>
      </c>
      <c r="H1" s="128" t="s">
        <v>133</v>
      </c>
      <c r="I1" s="128" t="s">
        <v>134</v>
      </c>
      <c r="J1" s="128" t="s">
        <v>135</v>
      </c>
      <c r="K1" s="128" t="s">
        <v>136</v>
      </c>
      <c r="L1" s="128" t="s">
        <v>137</v>
      </c>
      <c r="M1" s="128" t="s">
        <v>138</v>
      </c>
      <c r="N1" s="128" t="s">
        <v>139</v>
      </c>
      <c r="O1" s="130" t="s">
        <v>140</v>
      </c>
      <c r="P1" s="130" t="s">
        <v>141</v>
      </c>
      <c r="Q1" s="131" t="s">
        <v>142</v>
      </c>
      <c r="R1" s="131" t="s">
        <v>143</v>
      </c>
      <c r="S1" s="131" t="s">
        <v>144</v>
      </c>
      <c r="T1" s="131" t="s">
        <v>145</v>
      </c>
      <c r="U1" s="131" t="s">
        <v>146</v>
      </c>
      <c r="V1" s="131" t="s">
        <v>34</v>
      </c>
      <c r="W1" s="131" t="s">
        <v>147</v>
      </c>
      <c r="X1" s="132" t="s">
        <v>148</v>
      </c>
      <c r="Y1" s="132" t="s">
        <v>149</v>
      </c>
      <c r="Z1" s="132" t="s">
        <v>150</v>
      </c>
      <c r="AA1" s="132" t="s">
        <v>151</v>
      </c>
      <c r="AB1" s="132" t="s">
        <v>152</v>
      </c>
      <c r="AC1" s="132" t="s">
        <v>153</v>
      </c>
      <c r="AD1" s="133" t="s">
        <v>154</v>
      </c>
    </row>
    <row r="2" spans="1:30" x14ac:dyDescent="0.25">
      <c r="A2" s="134">
        <v>45807</v>
      </c>
      <c r="B2" s="134" t="s">
        <v>155</v>
      </c>
      <c r="C2" s="134" t="s">
        <v>156</v>
      </c>
      <c r="D2" s="127" t="s">
        <v>157</v>
      </c>
      <c r="E2" s="127"/>
      <c r="F2" s="127"/>
      <c r="G2" t="s">
        <v>158</v>
      </c>
      <c r="H2" s="127" t="s">
        <v>159</v>
      </c>
      <c r="I2" s="134" t="s">
        <v>160</v>
      </c>
      <c r="J2" s="134" t="s">
        <v>157</v>
      </c>
      <c r="K2" s="135">
        <v>29</v>
      </c>
      <c r="L2" s="135">
        <f>Table1368[[#This Row],[Prix total Achat]]-Table1368[[#This Row],[Prix article]]</f>
        <v>5.439999999999998</v>
      </c>
      <c r="M2" s="135">
        <v>34.44</v>
      </c>
      <c r="N2" s="134">
        <v>45817</v>
      </c>
      <c r="O2" s="136">
        <f>(Table1368[[#This Row],[Prix total Achat]]*2)</f>
        <v>68.88</v>
      </c>
      <c r="P2" s="136">
        <f>Table1368[[#This Row],[Prix Min voulu (x2 )]]*1.2</f>
        <v>82.65599999999999</v>
      </c>
      <c r="Q2" s="134">
        <v>45821</v>
      </c>
      <c r="R2" s="134">
        <v>45948</v>
      </c>
      <c r="S2" s="135">
        <v>75</v>
      </c>
      <c r="T2" s="134" t="s">
        <v>160</v>
      </c>
      <c r="U2" s="134" t="s">
        <v>157</v>
      </c>
      <c r="V2" s="137">
        <f>IF(ISBLANK(Table1368[[#This Row],[Date réception Achat]]),"",IF(ISBLANK(Table1368[[#This Row],[Date revente]]),TODAY(),Table1368[[#This Row],[Date revente]])-Table1368[[#This Row],[Date réception Achat]])</f>
        <v>131</v>
      </c>
      <c r="W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" s="135">
        <f>IF(Table1368[[#This Row],[Prix de revente]]="","",Table1368[[#This Row],[Prix de revente]]-Table1368[[#This Row],[Prix total Achat]])</f>
        <v>40.56</v>
      </c>
      <c r="Y2" s="138">
        <f>IF(Table1368[[#This Row],[Prix de revente]]="","",(Table1368[[#This Row],[Prix de revente]]/Table1368[[#This Row],[Prix total Achat]]))</f>
        <v>2.177700348432056</v>
      </c>
      <c r="Z2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" s="139">
        <f>IF(ISBLANK(Table1368[[#This Row],[Date relisting]]),"",IF(ISBLANK(Table1368[[#This Row],[Date relisting]]),TODAY(),Table1368[[#This Row],[Date relisting]])-Table1368[[#This Row],[Date réception Achat]])</f>
        <v>4</v>
      </c>
      <c r="AB2" s="139">
        <f>IF(ISBLANK(Table1368[[#This Row],[Date revente]]),"",IF(ISBLANK(Table1368[[#This Row],[Date revente]]),TODAY(),Table1368[[#This Row],[Date revente]])-Table1368[[#This Row],[Date relisting]])</f>
        <v>127</v>
      </c>
      <c r="AC2" s="140">
        <f>IF(ISBLANK(Table1368[[#This Row],[Date revente]]),"",IF(ISBLANK(Table1368[[#This Row],[Date revente]]),TODAY(),Table1368[[#This Row],[Date revente]])-Table1368[[#This Row],[Date réception Achat]])</f>
        <v>131</v>
      </c>
      <c r="AD2" s="139">
        <f>IF(ISBLANK(Table1368[[#This Row],[Date revente]]),"",IF(ISBLANK(Table1368[[#This Row],[Date revente]]),TODAY(),Table1368[[#This Row],[Date revente]])-Table1368[[#This Row],[Date achat]])</f>
        <v>141</v>
      </c>
    </row>
    <row r="3" spans="1:30" x14ac:dyDescent="0.25">
      <c r="A3" s="134">
        <v>45841</v>
      </c>
      <c r="B3" s="141" t="s">
        <v>161</v>
      </c>
      <c r="C3" s="134" t="s">
        <v>162</v>
      </c>
      <c r="D3" s="127" t="s">
        <v>157</v>
      </c>
      <c r="E3" s="127"/>
      <c r="F3" s="127"/>
      <c r="G3" s="134" t="s">
        <v>163</v>
      </c>
      <c r="H3" s="127" t="s">
        <v>164</v>
      </c>
      <c r="I3" s="134" t="s">
        <v>165</v>
      </c>
      <c r="J3" s="134" t="s">
        <v>157</v>
      </c>
      <c r="K3" s="135">
        <v>15</v>
      </c>
      <c r="L3" s="135">
        <f>Table1368[[#This Row],[Prix total Achat]]-Table1368[[#This Row],[Prix article]]</f>
        <v>12</v>
      </c>
      <c r="M3" s="135">
        <v>27</v>
      </c>
      <c r="N3" s="134">
        <v>45869</v>
      </c>
      <c r="O3" s="136">
        <f>(Table1368[[#This Row],[Prix total Achat]]*2)</f>
        <v>54</v>
      </c>
      <c r="P3" s="136">
        <f>Table1368[[#This Row],[Prix Min voulu (x2 )]]*1.2</f>
        <v>64.8</v>
      </c>
      <c r="Q3" s="134">
        <v>45879</v>
      </c>
      <c r="R3" s="134">
        <v>45968</v>
      </c>
      <c r="S3" s="135">
        <v>40</v>
      </c>
      <c r="T3" s="134" t="s">
        <v>160</v>
      </c>
      <c r="U3" s="134" t="s">
        <v>157</v>
      </c>
      <c r="V3" s="137">
        <f>IF(ISBLANK(Table1368[[#This Row],[Date réception Achat]]),"",IF(ISBLANK(Table1368[[#This Row],[Date revente]]),TODAY(),Table1368[[#This Row],[Date revente]])-Table1368[[#This Row],[Date réception Achat]])</f>
        <v>99</v>
      </c>
      <c r="W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" s="135">
        <f>IF(Table1368[[#This Row],[Prix de revente]]="","",Table1368[[#This Row],[Prix de revente]]-Table1368[[#This Row],[Prix total Achat]])</f>
        <v>13</v>
      </c>
      <c r="Y3" s="138">
        <f>IF(Table1368[[#This Row],[Prix de revente]]="","",(Table1368[[#This Row],[Prix de revente]]/Table1368[[#This Row],[Prix total Achat]]))</f>
        <v>1.4814814814814814</v>
      </c>
      <c r="Z3" s="139">
        <f>IF(ISBLANK(Table1368[[#This Row],[Date réception Achat]]),"",IF(ISBLANK(Table1368[[#This Row],[Date réception Achat]]),TODAY(),Table1368[[#This Row],[Date réception Achat]])-Table1368[[#This Row],[Date achat]])</f>
        <v>28</v>
      </c>
      <c r="AA3" s="139">
        <f>IF(ISBLANK(Table1368[[#This Row],[Date relisting]]),"",IF(ISBLANK(Table1368[[#This Row],[Date relisting]]),TODAY(),Table1368[[#This Row],[Date relisting]])-Table1368[[#This Row],[Date réception Achat]])</f>
        <v>10</v>
      </c>
      <c r="AB3" s="139">
        <f>IF(ISBLANK(Table1368[[#This Row],[Date revente]]),"",IF(ISBLANK(Table1368[[#This Row],[Date revente]]),TODAY(),Table1368[[#This Row],[Date revente]])-Table1368[[#This Row],[Date relisting]])</f>
        <v>89</v>
      </c>
      <c r="AC3" s="139">
        <f>IF(ISBLANK(Table1368[[#This Row],[Date revente]]),"",IF(ISBLANK(Table1368[[#This Row],[Date revente]]),TODAY(),Table1368[[#This Row],[Date revente]])-Table1368[[#This Row],[Date réception Achat]])</f>
        <v>99</v>
      </c>
      <c r="AD3" s="139">
        <f>IF(ISBLANK(Table1368[[#This Row],[Date revente]]),"",IF(ISBLANK(Table1368[[#This Row],[Date revente]]),TODAY(),Table1368[[#This Row],[Date revente]])-Table1368[[#This Row],[Date achat]])</f>
        <v>127</v>
      </c>
    </row>
    <row r="4" spans="1:30" x14ac:dyDescent="0.25">
      <c r="A4" s="134">
        <v>45841</v>
      </c>
      <c r="B4" s="141" t="s">
        <v>166</v>
      </c>
      <c r="C4" s="134" t="s">
        <v>167</v>
      </c>
      <c r="D4" s="127" t="s">
        <v>157</v>
      </c>
      <c r="E4" s="127"/>
      <c r="F4" s="127"/>
      <c r="G4" s="134" t="s">
        <v>163</v>
      </c>
      <c r="H4" s="127" t="s">
        <v>164</v>
      </c>
      <c r="I4" s="134" t="s">
        <v>165</v>
      </c>
      <c r="J4" s="134" t="s">
        <v>157</v>
      </c>
      <c r="K4" s="135">
        <v>15</v>
      </c>
      <c r="L4" s="135">
        <f>Table1368[[#This Row],[Prix total Achat]]-Table1368[[#This Row],[Prix article]]</f>
        <v>12</v>
      </c>
      <c r="M4" s="135">
        <v>27</v>
      </c>
      <c r="N4" s="134">
        <v>45869</v>
      </c>
      <c r="O4" s="136">
        <f>(Table1368[[#This Row],[Prix total Achat]]*2)</f>
        <v>54</v>
      </c>
      <c r="P4" s="136">
        <f>Table1368[[#This Row],[Prix Min voulu (x2 )]]*1.2</f>
        <v>64.8</v>
      </c>
      <c r="Q4" s="134">
        <v>45879</v>
      </c>
      <c r="R4" s="134">
        <v>45978</v>
      </c>
      <c r="S4" s="135">
        <v>40</v>
      </c>
      <c r="T4" s="134" t="s">
        <v>160</v>
      </c>
      <c r="U4" s="134" t="s">
        <v>157</v>
      </c>
      <c r="V4" s="137">
        <f>IF(ISBLANK(Table1368[[#This Row],[Date réception Achat]]),"",IF(ISBLANK(Table1368[[#This Row],[Date revente]]),TODAY(),Table1368[[#This Row],[Date revente]])-Table1368[[#This Row],[Date réception Achat]])</f>
        <v>109</v>
      </c>
      <c r="W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" s="135">
        <f>IF(Table1368[[#This Row],[Prix de revente]]="","",Table1368[[#This Row],[Prix de revente]]-Table1368[[#This Row],[Prix total Achat]])</f>
        <v>13</v>
      </c>
      <c r="Y4" s="138">
        <f>IF(Table1368[[#This Row],[Prix de revente]]="","",(Table1368[[#This Row],[Prix de revente]]/Table1368[[#This Row],[Prix total Achat]]))</f>
        <v>1.4814814814814814</v>
      </c>
      <c r="Z4" s="139">
        <f>IF(ISBLANK(Table1368[[#This Row],[Date réception Achat]]),"",IF(ISBLANK(Table1368[[#This Row],[Date réception Achat]]),TODAY(),Table1368[[#This Row],[Date réception Achat]])-Table1368[[#This Row],[Date achat]])</f>
        <v>28</v>
      </c>
      <c r="AA4" s="139">
        <f>IF(ISBLANK(Table1368[[#This Row],[Date relisting]]),"",IF(ISBLANK(Table1368[[#This Row],[Date relisting]]),TODAY(),Table1368[[#This Row],[Date relisting]])-Table1368[[#This Row],[Date réception Achat]])</f>
        <v>10</v>
      </c>
      <c r="AB4" s="139">
        <f>IF(ISBLANK(Table1368[[#This Row],[Date revente]]),"",IF(ISBLANK(Table1368[[#This Row],[Date revente]]),TODAY(),Table1368[[#This Row],[Date revente]])-Table1368[[#This Row],[Date relisting]])</f>
        <v>99</v>
      </c>
      <c r="AC4" s="139">
        <f>IF(ISBLANK(Table1368[[#This Row],[Date revente]]),"",IF(ISBLANK(Table1368[[#This Row],[Date revente]]),TODAY(),Table1368[[#This Row],[Date revente]])-Table1368[[#This Row],[Date réception Achat]])</f>
        <v>109</v>
      </c>
      <c r="AD4" s="139">
        <f>IF(ISBLANK(Table1368[[#This Row],[Date revente]]),"",IF(ISBLANK(Table1368[[#This Row],[Date revente]]),TODAY(),Table1368[[#This Row],[Date revente]])-Table1368[[#This Row],[Date achat]])</f>
        <v>137</v>
      </c>
    </row>
    <row r="5" spans="1:30" x14ac:dyDescent="0.25">
      <c r="A5" s="134">
        <v>45916</v>
      </c>
      <c r="B5" s="134" t="s">
        <v>168</v>
      </c>
      <c r="C5" s="134" t="s">
        <v>169</v>
      </c>
      <c r="D5" s="127" t="s">
        <v>157</v>
      </c>
      <c r="E5" s="127"/>
      <c r="F5" s="127"/>
      <c r="G5" t="s">
        <v>170</v>
      </c>
      <c r="H5" s="127" t="s">
        <v>164</v>
      </c>
      <c r="I5" s="134" t="s">
        <v>160</v>
      </c>
      <c r="J5" s="134" t="s">
        <v>157</v>
      </c>
      <c r="K5" s="135">
        <v>50</v>
      </c>
      <c r="L5" s="135">
        <f>Table1368[[#This Row],[Prix total Achat]]-Table1368[[#This Row],[Prix article]]</f>
        <v>6.289999999999999</v>
      </c>
      <c r="M5" s="135">
        <v>56.29</v>
      </c>
      <c r="N5" s="134">
        <v>45926</v>
      </c>
      <c r="O5" s="136">
        <f>(Table1368[[#This Row],[Prix total Achat]]*2)</f>
        <v>112.58</v>
      </c>
      <c r="P5" s="136">
        <f>Table1368[[#This Row],[Prix Min voulu (x2 )]]*1.2</f>
        <v>135.096</v>
      </c>
      <c r="Q5" s="134">
        <v>45929</v>
      </c>
      <c r="R5" s="134">
        <v>45984</v>
      </c>
      <c r="S5" s="135">
        <v>85</v>
      </c>
      <c r="T5" s="134" t="s">
        <v>160</v>
      </c>
      <c r="U5" s="134" t="s">
        <v>157</v>
      </c>
      <c r="V5" s="137">
        <f>IF(ISBLANK(Table1368[[#This Row],[Date réception Achat]]),"",IF(ISBLANK(Table1368[[#This Row],[Date revente]]),TODAY(),Table1368[[#This Row],[Date revente]])-Table1368[[#This Row],[Date réception Achat]])</f>
        <v>58</v>
      </c>
      <c r="W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" s="135">
        <f>IF(Table1368[[#This Row],[Prix de revente]]="","",Table1368[[#This Row],[Prix de revente]]-Table1368[[#This Row],[Prix total Achat]])</f>
        <v>28.71</v>
      </c>
      <c r="Y5" s="138">
        <f>IF(Table1368[[#This Row],[Prix de revente]]="","",(Table1368[[#This Row],[Prix de revente]]/Table1368[[#This Row],[Prix total Achat]]))</f>
        <v>1.5100373068040505</v>
      </c>
      <c r="Z5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5" s="139">
        <f>IF(ISBLANK(Table1368[[#This Row],[Date relisting]]),"",IF(ISBLANK(Table1368[[#This Row],[Date relisting]]),TODAY(),Table1368[[#This Row],[Date relisting]])-Table1368[[#This Row],[Date réception Achat]])</f>
        <v>3</v>
      </c>
      <c r="AB5" s="139">
        <f>IF(ISBLANK(Table1368[[#This Row],[Date revente]]),"",IF(ISBLANK(Table1368[[#This Row],[Date revente]]),TODAY(),Table1368[[#This Row],[Date revente]])-Table1368[[#This Row],[Date relisting]])</f>
        <v>55</v>
      </c>
      <c r="AC5" s="139">
        <f>IF(ISBLANK(Table1368[[#This Row],[Date revente]]),"",IF(ISBLANK(Table1368[[#This Row],[Date revente]]),TODAY(),Table1368[[#This Row],[Date revente]])-Table1368[[#This Row],[Date réception Achat]])</f>
        <v>58</v>
      </c>
      <c r="AD5" s="139">
        <f>IF(ISBLANK(Table1368[[#This Row],[Date revente]]),"",IF(ISBLANK(Table1368[[#This Row],[Date revente]]),TODAY(),Table1368[[#This Row],[Date revente]])-Table1368[[#This Row],[Date achat]])</f>
        <v>68</v>
      </c>
    </row>
    <row r="6" spans="1:30" x14ac:dyDescent="0.25">
      <c r="A6" s="134">
        <v>45917</v>
      </c>
      <c r="B6" s="141" t="s">
        <v>171</v>
      </c>
      <c r="C6" s="134" t="s">
        <v>172</v>
      </c>
      <c r="D6" s="127" t="s">
        <v>157</v>
      </c>
      <c r="E6" s="127"/>
      <c r="F6" s="127"/>
      <c r="G6" s="134" t="s">
        <v>173</v>
      </c>
      <c r="H6" s="127" t="s">
        <v>174</v>
      </c>
      <c r="I6" s="134" t="s">
        <v>165</v>
      </c>
      <c r="J6" s="134" t="s">
        <v>157</v>
      </c>
      <c r="K6" s="135">
        <v>35</v>
      </c>
      <c r="L6" s="135">
        <f>Table1368[[#This Row],[Prix total Achat]]-Table1368[[#This Row],[Prix article]]</f>
        <v>30</v>
      </c>
      <c r="M6" s="135">
        <v>65</v>
      </c>
      <c r="N6" s="134">
        <v>45937</v>
      </c>
      <c r="O6" s="136">
        <f>(Table1368[[#This Row],[Prix total Achat]]*2)</f>
        <v>130</v>
      </c>
      <c r="P6" s="136">
        <f>Table1368[[#This Row],[Prix Min voulu (x2 )]]*1.2</f>
        <v>156</v>
      </c>
      <c r="Q6" s="134">
        <v>45940</v>
      </c>
      <c r="R6" s="134">
        <v>45943</v>
      </c>
      <c r="S6" s="135">
        <v>130</v>
      </c>
      <c r="T6" s="134" t="s">
        <v>160</v>
      </c>
      <c r="U6" s="134" t="s">
        <v>157</v>
      </c>
      <c r="V6" s="137">
        <f>IF(ISBLANK(Table1368[[#This Row],[Date réception Achat]]),"",IF(ISBLANK(Table1368[[#This Row],[Date revente]]),TODAY(),Table1368[[#This Row],[Date revente]])-Table1368[[#This Row],[Date réception Achat]])</f>
        <v>6</v>
      </c>
      <c r="W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" s="135">
        <f>IF(Table1368[[#This Row],[Prix de revente]]="","",Table1368[[#This Row],[Prix de revente]]-Table1368[[#This Row],[Prix total Achat]])</f>
        <v>65</v>
      </c>
      <c r="Y6" s="138">
        <f>IF(Table1368[[#This Row],[Prix de revente]]="","",(Table1368[[#This Row],[Prix de revente]]/Table1368[[#This Row],[Prix total Achat]]))</f>
        <v>2</v>
      </c>
      <c r="Z6" s="139">
        <f>IF(ISBLANK(Table1368[[#This Row],[Date réception Achat]]),"",IF(ISBLANK(Table1368[[#This Row],[Date réception Achat]]),TODAY(),Table1368[[#This Row],[Date réception Achat]])-Table1368[[#This Row],[Date achat]])</f>
        <v>20</v>
      </c>
      <c r="AA6" s="139">
        <f>IF(ISBLANK(Table1368[[#This Row],[Date relisting]]),"",IF(ISBLANK(Table1368[[#This Row],[Date relisting]]),TODAY(),Table1368[[#This Row],[Date relisting]])-Table1368[[#This Row],[Date réception Achat]])</f>
        <v>3</v>
      </c>
      <c r="AB6" s="139">
        <f>IF(ISBLANK(Table1368[[#This Row],[Date revente]]),"",IF(ISBLANK(Table1368[[#This Row],[Date revente]]),TODAY(),Table1368[[#This Row],[Date revente]])-Table1368[[#This Row],[Date relisting]])</f>
        <v>3</v>
      </c>
      <c r="AC6" s="139">
        <f>IF(ISBLANK(Table1368[[#This Row],[Date revente]]),"",IF(ISBLANK(Table1368[[#This Row],[Date revente]]),TODAY(),Table1368[[#This Row],[Date revente]])-Table1368[[#This Row],[Date réception Achat]])</f>
        <v>6</v>
      </c>
      <c r="AD6" s="139">
        <f>IF(ISBLANK(Table1368[[#This Row],[Date revente]]),"",IF(ISBLANK(Table1368[[#This Row],[Date revente]]),TODAY(),Table1368[[#This Row],[Date revente]])-Table1368[[#This Row],[Date achat]])</f>
        <v>26</v>
      </c>
    </row>
    <row r="7" spans="1:30" x14ac:dyDescent="0.25">
      <c r="A7" s="134">
        <v>45917</v>
      </c>
      <c r="B7" s="141" t="s">
        <v>175</v>
      </c>
      <c r="C7" s="134" t="s">
        <v>176</v>
      </c>
      <c r="D7" s="127" t="s">
        <v>157</v>
      </c>
      <c r="E7" s="127"/>
      <c r="F7" s="127"/>
      <c r="G7" s="134" t="s">
        <v>177</v>
      </c>
      <c r="H7" s="127" t="s">
        <v>178</v>
      </c>
      <c r="I7" s="134" t="s">
        <v>165</v>
      </c>
      <c r="J7" s="134" t="s">
        <v>157</v>
      </c>
      <c r="K7" s="135">
        <v>55</v>
      </c>
      <c r="L7" s="135">
        <f>Table1368[[#This Row],[Prix total Achat]]-Table1368[[#This Row],[Prix article]]</f>
        <v>30</v>
      </c>
      <c r="M7" s="135">
        <v>85</v>
      </c>
      <c r="N7" s="134">
        <v>45929</v>
      </c>
      <c r="O7" s="136">
        <f>(Table1368[[#This Row],[Prix total Achat]]*2)</f>
        <v>170</v>
      </c>
      <c r="P7" s="136">
        <f>Table1368[[#This Row],[Prix Min voulu (x2 )]]*1.2</f>
        <v>204</v>
      </c>
      <c r="Q7" s="134">
        <v>45935</v>
      </c>
      <c r="R7" s="134">
        <v>45951</v>
      </c>
      <c r="S7" s="135">
        <v>170</v>
      </c>
      <c r="T7" s="134" t="s">
        <v>160</v>
      </c>
      <c r="U7" s="134" t="s">
        <v>157</v>
      </c>
      <c r="V7" s="137">
        <f>IF(ISBLANK(Table1368[[#This Row],[Date réception Achat]]),"",IF(ISBLANK(Table1368[[#This Row],[Date revente]]),TODAY(),Table1368[[#This Row],[Date revente]])-Table1368[[#This Row],[Date réception Achat]])</f>
        <v>22</v>
      </c>
      <c r="W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" s="135">
        <f>IF(Table1368[[#This Row],[Prix de revente]]="","",Table1368[[#This Row],[Prix de revente]]-Table1368[[#This Row],[Prix total Achat]])</f>
        <v>85</v>
      </c>
      <c r="Y7" s="138">
        <f>IF(Table1368[[#This Row],[Prix de revente]]="","",(Table1368[[#This Row],[Prix de revente]]/Table1368[[#This Row],[Prix total Achat]]))</f>
        <v>2</v>
      </c>
      <c r="Z7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7" s="139">
        <f>IF(ISBLANK(Table1368[[#This Row],[Date relisting]]),"",IF(ISBLANK(Table1368[[#This Row],[Date relisting]]),TODAY(),Table1368[[#This Row],[Date relisting]])-Table1368[[#This Row],[Date réception Achat]])</f>
        <v>6</v>
      </c>
      <c r="AB7" s="139">
        <f>IF(ISBLANK(Table1368[[#This Row],[Date revente]]),"",IF(ISBLANK(Table1368[[#This Row],[Date revente]]),TODAY(),Table1368[[#This Row],[Date revente]])-Table1368[[#This Row],[Date relisting]])</f>
        <v>16</v>
      </c>
      <c r="AC7" s="139">
        <f>IF(ISBLANK(Table1368[[#This Row],[Date revente]]),"",IF(ISBLANK(Table1368[[#This Row],[Date revente]]),TODAY(),Table1368[[#This Row],[Date revente]])-Table1368[[#This Row],[Date réception Achat]])</f>
        <v>22</v>
      </c>
      <c r="AD7" s="139">
        <f>IF(ISBLANK(Table1368[[#This Row],[Date revente]]),"",IF(ISBLANK(Table1368[[#This Row],[Date revente]]),TODAY(),Table1368[[#This Row],[Date revente]])-Table1368[[#This Row],[Date achat]])</f>
        <v>34</v>
      </c>
    </row>
    <row r="8" spans="1:30" x14ac:dyDescent="0.25">
      <c r="A8" s="134">
        <v>45917</v>
      </c>
      <c r="B8" s="141" t="s">
        <v>179</v>
      </c>
      <c r="C8" s="134" t="s">
        <v>180</v>
      </c>
      <c r="D8" s="127" t="s">
        <v>157</v>
      </c>
      <c r="E8" s="127"/>
      <c r="F8" s="127"/>
      <c r="G8" s="134" t="s">
        <v>163</v>
      </c>
      <c r="H8" s="127" t="s">
        <v>178</v>
      </c>
      <c r="I8" s="134" t="s">
        <v>165</v>
      </c>
      <c r="J8" s="134" t="s">
        <v>157</v>
      </c>
      <c r="K8" s="135">
        <v>110</v>
      </c>
      <c r="L8" s="135">
        <f>Table1368[[#This Row],[Prix total Achat]]-Table1368[[#This Row],[Prix article]]</f>
        <v>30</v>
      </c>
      <c r="M8" s="135">
        <v>140</v>
      </c>
      <c r="N8" s="134">
        <v>45929</v>
      </c>
      <c r="O8" s="136">
        <f>(Table1368[[#This Row],[Prix total Achat]]*2)</f>
        <v>280</v>
      </c>
      <c r="P8" s="136">
        <f>Table1368[[#This Row],[Prix Min voulu (x2 )]]*1.2</f>
        <v>336</v>
      </c>
      <c r="Q8" s="134">
        <v>45935</v>
      </c>
      <c r="R8" s="134">
        <v>45952</v>
      </c>
      <c r="S8" s="135">
        <v>195</v>
      </c>
      <c r="T8" s="134" t="s">
        <v>160</v>
      </c>
      <c r="U8" s="134" t="s">
        <v>181</v>
      </c>
      <c r="V8" s="137">
        <f>IF(ISBLANK(Table1368[[#This Row],[Date réception Achat]]),"",IF(ISBLANK(Table1368[[#This Row],[Date revente]]),TODAY(),Table1368[[#This Row],[Date revente]])-Table1368[[#This Row],[Date réception Achat]])</f>
        <v>23</v>
      </c>
      <c r="W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" s="135">
        <f>IF(Table1368[[#This Row],[Prix de revente]]="","",Table1368[[#This Row],[Prix de revente]]-Table1368[[#This Row],[Prix total Achat]])</f>
        <v>55</v>
      </c>
      <c r="Y8" s="138">
        <f>IF(Table1368[[#This Row],[Prix de revente]]="","",(Table1368[[#This Row],[Prix de revente]]/Table1368[[#This Row],[Prix total Achat]]))</f>
        <v>1.3928571428571428</v>
      </c>
      <c r="Z8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8" s="139">
        <f>IF(ISBLANK(Table1368[[#This Row],[Date relisting]]),"",IF(ISBLANK(Table1368[[#This Row],[Date relisting]]),TODAY(),Table1368[[#This Row],[Date relisting]])-Table1368[[#This Row],[Date réception Achat]])</f>
        <v>6</v>
      </c>
      <c r="AB8" s="139">
        <f>IF(ISBLANK(Table1368[[#This Row],[Date revente]]),"",IF(ISBLANK(Table1368[[#This Row],[Date revente]]),TODAY(),Table1368[[#This Row],[Date revente]])-Table1368[[#This Row],[Date relisting]])</f>
        <v>17</v>
      </c>
      <c r="AC8" s="139">
        <f>IF(ISBLANK(Table1368[[#This Row],[Date revente]]),"",IF(ISBLANK(Table1368[[#This Row],[Date revente]]),TODAY(),Table1368[[#This Row],[Date revente]])-Table1368[[#This Row],[Date réception Achat]])</f>
        <v>23</v>
      </c>
      <c r="AD8" s="139">
        <f>IF(ISBLANK(Table1368[[#This Row],[Date revente]]),"",IF(ISBLANK(Table1368[[#This Row],[Date revente]]),TODAY(),Table1368[[#This Row],[Date revente]])-Table1368[[#This Row],[Date achat]])</f>
        <v>35</v>
      </c>
    </row>
    <row r="9" spans="1:30" x14ac:dyDescent="0.25">
      <c r="A9" s="134">
        <v>45917</v>
      </c>
      <c r="B9" s="141" t="s">
        <v>182</v>
      </c>
      <c r="C9" s="134" t="s">
        <v>183</v>
      </c>
      <c r="D9" s="127" t="s">
        <v>157</v>
      </c>
      <c r="E9" s="127"/>
      <c r="F9" s="127"/>
      <c r="G9" s="134" t="s">
        <v>184</v>
      </c>
      <c r="H9" s="127" t="s">
        <v>178</v>
      </c>
      <c r="I9" s="134" t="s">
        <v>165</v>
      </c>
      <c r="J9" s="134" t="s">
        <v>157</v>
      </c>
      <c r="K9" s="135">
        <v>18</v>
      </c>
      <c r="L9" s="135">
        <f>Table1368[[#This Row],[Prix total Achat]]-Table1368[[#This Row],[Prix article]]</f>
        <v>30</v>
      </c>
      <c r="M9" s="135">
        <v>48</v>
      </c>
      <c r="N9" s="134">
        <v>45926</v>
      </c>
      <c r="O9" s="136">
        <f>(Table1368[[#This Row],[Prix total Achat]]*2)</f>
        <v>96</v>
      </c>
      <c r="P9" s="136">
        <f>Table1368[[#This Row],[Prix Min voulu (x2 )]]*1.2</f>
        <v>115.19999999999999</v>
      </c>
      <c r="Q9" s="134">
        <v>45935</v>
      </c>
      <c r="R9" s="134">
        <v>45955</v>
      </c>
      <c r="S9" s="135">
        <v>45</v>
      </c>
      <c r="T9" s="134" t="s">
        <v>160</v>
      </c>
      <c r="U9" s="134" t="s">
        <v>157</v>
      </c>
      <c r="V9" s="137">
        <f>IF(ISBLANK(Table1368[[#This Row],[Date réception Achat]]),"",IF(ISBLANK(Table1368[[#This Row],[Date revente]]),TODAY(),Table1368[[#This Row],[Date revente]])-Table1368[[#This Row],[Date réception Achat]])</f>
        <v>29</v>
      </c>
      <c r="W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" s="135">
        <f>IF(Table1368[[#This Row],[Prix de revente]]="","",Table1368[[#This Row],[Prix de revente]]-Table1368[[#This Row],[Prix total Achat]])</f>
        <v>-3</v>
      </c>
      <c r="Y9" s="138">
        <f>IF(Table1368[[#This Row],[Prix de revente]]="","",(Table1368[[#This Row],[Prix de revente]]/Table1368[[#This Row],[Prix total Achat]]))</f>
        <v>0.9375</v>
      </c>
      <c r="Z9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9" s="139">
        <f>IF(ISBLANK(Table1368[[#This Row],[Date relisting]]),"",IF(ISBLANK(Table1368[[#This Row],[Date relisting]]),TODAY(),Table1368[[#This Row],[Date relisting]])-Table1368[[#This Row],[Date réception Achat]])</f>
        <v>9</v>
      </c>
      <c r="AB9" s="139">
        <f>IF(ISBLANK(Table1368[[#This Row],[Date revente]]),"",IF(ISBLANK(Table1368[[#This Row],[Date revente]]),TODAY(),Table1368[[#This Row],[Date revente]])-Table1368[[#This Row],[Date relisting]])</f>
        <v>20</v>
      </c>
      <c r="AC9" s="139">
        <f>IF(ISBLANK(Table1368[[#This Row],[Date revente]]),"",IF(ISBLANK(Table1368[[#This Row],[Date revente]]),TODAY(),Table1368[[#This Row],[Date revente]])-Table1368[[#This Row],[Date réception Achat]])</f>
        <v>29</v>
      </c>
      <c r="AD9" s="139">
        <f>IF(ISBLANK(Table1368[[#This Row],[Date revente]]),"",IF(ISBLANK(Table1368[[#This Row],[Date revente]]),TODAY(),Table1368[[#This Row],[Date revente]])-Table1368[[#This Row],[Date achat]])</f>
        <v>38</v>
      </c>
    </row>
    <row r="10" spans="1:30" x14ac:dyDescent="0.25">
      <c r="A10" s="134">
        <v>45917</v>
      </c>
      <c r="B10" s="141" t="s">
        <v>185</v>
      </c>
      <c r="C10" s="134" t="s">
        <v>186</v>
      </c>
      <c r="D10" s="127" t="s">
        <v>157</v>
      </c>
      <c r="E10" s="127"/>
      <c r="F10" s="127"/>
      <c r="G10" s="134" t="s">
        <v>177</v>
      </c>
      <c r="H10" s="127" t="s">
        <v>178</v>
      </c>
      <c r="I10" s="134" t="s">
        <v>165</v>
      </c>
      <c r="J10" s="134" t="s">
        <v>157</v>
      </c>
      <c r="K10" s="135">
        <v>35</v>
      </c>
      <c r="L10" s="135">
        <f>Table1368[[#This Row],[Prix total Achat]]-Table1368[[#This Row],[Prix article]]</f>
        <v>30</v>
      </c>
      <c r="M10" s="135">
        <v>65</v>
      </c>
      <c r="N10" s="134">
        <v>45926</v>
      </c>
      <c r="O10" s="136">
        <f>(Table1368[[#This Row],[Prix total Achat]]*2)</f>
        <v>130</v>
      </c>
      <c r="P10" s="136">
        <f>Table1368[[#This Row],[Prix Min voulu (x2 )]]*1.2</f>
        <v>156</v>
      </c>
      <c r="Q10" s="134">
        <v>45935</v>
      </c>
      <c r="R10" s="134">
        <v>45959</v>
      </c>
      <c r="S10" s="135">
        <v>80</v>
      </c>
      <c r="T10" s="134" t="s">
        <v>160</v>
      </c>
      <c r="U10" s="134" t="s">
        <v>157</v>
      </c>
      <c r="V10" s="137">
        <f>IF(ISBLANK(Table1368[[#This Row],[Date réception Achat]]),"",IF(ISBLANK(Table1368[[#This Row],[Date revente]]),TODAY(),Table1368[[#This Row],[Date revente]])-Table1368[[#This Row],[Date réception Achat]])</f>
        <v>33</v>
      </c>
      <c r="W1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" s="135">
        <f>IF(Table1368[[#This Row],[Prix de revente]]="","",Table1368[[#This Row],[Prix de revente]]-Table1368[[#This Row],[Prix total Achat]])</f>
        <v>15</v>
      </c>
      <c r="Y10" s="138">
        <f>IF(Table1368[[#This Row],[Prix de revente]]="","",(Table1368[[#This Row],[Prix de revente]]/Table1368[[#This Row],[Prix total Achat]]))</f>
        <v>1.2307692307692308</v>
      </c>
      <c r="Z10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10" s="139">
        <f>IF(ISBLANK(Table1368[[#This Row],[Date relisting]]),"",IF(ISBLANK(Table1368[[#This Row],[Date relisting]]),TODAY(),Table1368[[#This Row],[Date relisting]])-Table1368[[#This Row],[Date réception Achat]])</f>
        <v>9</v>
      </c>
      <c r="AB10" s="139">
        <f>IF(ISBLANK(Table1368[[#This Row],[Date revente]]),"",IF(ISBLANK(Table1368[[#This Row],[Date revente]]),TODAY(),Table1368[[#This Row],[Date revente]])-Table1368[[#This Row],[Date relisting]])</f>
        <v>24</v>
      </c>
      <c r="AC10" s="139">
        <f>IF(ISBLANK(Table1368[[#This Row],[Date revente]]),"",IF(ISBLANK(Table1368[[#This Row],[Date revente]]),TODAY(),Table1368[[#This Row],[Date revente]])-Table1368[[#This Row],[Date réception Achat]])</f>
        <v>33</v>
      </c>
      <c r="AD10" s="139">
        <f>IF(ISBLANK(Table1368[[#This Row],[Date revente]]),"",IF(ISBLANK(Table1368[[#This Row],[Date revente]]),TODAY(),Table1368[[#This Row],[Date revente]])-Table1368[[#This Row],[Date achat]])</f>
        <v>42</v>
      </c>
    </row>
    <row r="11" spans="1:30" x14ac:dyDescent="0.25">
      <c r="A11" s="134">
        <v>45917</v>
      </c>
      <c r="B11" s="141" t="s">
        <v>187</v>
      </c>
      <c r="C11" s="134" t="s">
        <v>188</v>
      </c>
      <c r="D11" s="127" t="s">
        <v>157</v>
      </c>
      <c r="E11" s="127"/>
      <c r="F11" s="127"/>
      <c r="G11" s="134" t="s">
        <v>177</v>
      </c>
      <c r="H11" s="127" t="s">
        <v>178</v>
      </c>
      <c r="I11" s="134" t="s">
        <v>165</v>
      </c>
      <c r="J11" s="134" t="s">
        <v>157</v>
      </c>
      <c r="K11" s="135">
        <v>28</v>
      </c>
      <c r="L11" s="135">
        <f>Table1368[[#This Row],[Prix total Achat]]-Table1368[[#This Row],[Prix article]]</f>
        <v>30</v>
      </c>
      <c r="M11" s="135">
        <v>58</v>
      </c>
      <c r="N11" s="134">
        <v>45937</v>
      </c>
      <c r="O11" s="136">
        <f>(Table1368[[#This Row],[Prix total Achat]]*2)</f>
        <v>116</v>
      </c>
      <c r="P11" s="136">
        <f>Table1368[[#This Row],[Prix Min voulu (x2 )]]*1.2</f>
        <v>139.2</v>
      </c>
      <c r="Q11" s="134">
        <v>45940</v>
      </c>
      <c r="R11" s="134">
        <v>45971</v>
      </c>
      <c r="S11" s="135">
        <v>87.5</v>
      </c>
      <c r="T11" s="134" t="s">
        <v>160</v>
      </c>
      <c r="U11" s="134" t="s">
        <v>189</v>
      </c>
      <c r="V11" s="137">
        <f>IF(ISBLANK(Table1368[[#This Row],[Date réception Achat]]),"",IF(ISBLANK(Table1368[[#This Row],[Date revente]]),TODAY(),Table1368[[#This Row],[Date revente]])-Table1368[[#This Row],[Date réception Achat]])</f>
        <v>34</v>
      </c>
      <c r="W1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" s="135">
        <f>IF(Table1368[[#This Row],[Prix de revente]]="","",Table1368[[#This Row],[Prix de revente]]-Table1368[[#This Row],[Prix total Achat]])</f>
        <v>29.5</v>
      </c>
      <c r="Y11" s="138">
        <f>IF(Table1368[[#This Row],[Prix de revente]]="","",(Table1368[[#This Row],[Prix de revente]]/Table1368[[#This Row],[Prix total Achat]]))</f>
        <v>1.5086206896551724</v>
      </c>
      <c r="Z11" s="139">
        <f>IF(ISBLANK(Table1368[[#This Row],[Date réception Achat]]),"",IF(ISBLANK(Table1368[[#This Row],[Date réception Achat]]),TODAY(),Table1368[[#This Row],[Date réception Achat]])-Table1368[[#This Row],[Date achat]])</f>
        <v>20</v>
      </c>
      <c r="AA11" s="139">
        <f>IF(ISBLANK(Table1368[[#This Row],[Date relisting]]),"",IF(ISBLANK(Table1368[[#This Row],[Date relisting]]),TODAY(),Table1368[[#This Row],[Date relisting]])-Table1368[[#This Row],[Date réception Achat]])</f>
        <v>3</v>
      </c>
      <c r="AB11" s="139">
        <f>IF(ISBLANK(Table1368[[#This Row],[Date revente]]),"",IF(ISBLANK(Table1368[[#This Row],[Date revente]]),TODAY(),Table1368[[#This Row],[Date revente]])-Table1368[[#This Row],[Date relisting]])</f>
        <v>31</v>
      </c>
      <c r="AC11" s="139">
        <f>IF(ISBLANK(Table1368[[#This Row],[Date revente]]),"",IF(ISBLANK(Table1368[[#This Row],[Date revente]]),TODAY(),Table1368[[#This Row],[Date revente]])-Table1368[[#This Row],[Date réception Achat]])</f>
        <v>34</v>
      </c>
      <c r="AD11" s="139">
        <f>IF(ISBLANK(Table1368[[#This Row],[Date revente]]),"",IF(ISBLANK(Table1368[[#This Row],[Date revente]]),TODAY(),Table1368[[#This Row],[Date revente]])-Table1368[[#This Row],[Date achat]])</f>
        <v>54</v>
      </c>
    </row>
    <row r="12" spans="1:30" x14ac:dyDescent="0.25">
      <c r="A12" s="134">
        <v>45917</v>
      </c>
      <c r="B12" s="141" t="s">
        <v>190</v>
      </c>
      <c r="C12" s="134" t="s">
        <v>191</v>
      </c>
      <c r="D12" s="127" t="s">
        <v>157</v>
      </c>
      <c r="E12" s="127"/>
      <c r="F12" s="127"/>
      <c r="G12" s="134" t="s">
        <v>177</v>
      </c>
      <c r="H12" s="127" t="s">
        <v>178</v>
      </c>
      <c r="I12" s="134" t="s">
        <v>165</v>
      </c>
      <c r="J12" s="134" t="s">
        <v>157</v>
      </c>
      <c r="K12" s="135">
        <v>50</v>
      </c>
      <c r="L12" s="135">
        <f>Table1368[[#This Row],[Prix total Achat]]-Table1368[[#This Row],[Prix article]]</f>
        <v>30</v>
      </c>
      <c r="M12" s="135">
        <v>80</v>
      </c>
      <c r="N12" s="134">
        <v>45929</v>
      </c>
      <c r="O12" s="136">
        <f>(Table1368[[#This Row],[Prix total Achat]]*2)</f>
        <v>160</v>
      </c>
      <c r="P12" s="136">
        <f>Table1368[[#This Row],[Prix Min voulu (x2 )]]*1.2</f>
        <v>192</v>
      </c>
      <c r="Q12" s="134">
        <v>45935</v>
      </c>
      <c r="R12" s="134">
        <v>45971</v>
      </c>
      <c r="S12" s="135">
        <v>87.5</v>
      </c>
      <c r="T12" s="134" t="s">
        <v>160</v>
      </c>
      <c r="U12" s="134" t="s">
        <v>189</v>
      </c>
      <c r="V12" s="137">
        <f>IF(ISBLANK(Table1368[[#This Row],[Date réception Achat]]),"",IF(ISBLANK(Table1368[[#This Row],[Date revente]]),TODAY(),Table1368[[#This Row],[Date revente]])-Table1368[[#This Row],[Date réception Achat]])</f>
        <v>42</v>
      </c>
      <c r="W1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" s="135">
        <f>IF(Table1368[[#This Row],[Prix de revente]]="","",Table1368[[#This Row],[Prix de revente]]-Table1368[[#This Row],[Prix total Achat]])</f>
        <v>7.5</v>
      </c>
      <c r="Y12" s="138">
        <f>IF(Table1368[[#This Row],[Prix de revente]]="","",(Table1368[[#This Row],[Prix de revente]]/Table1368[[#This Row],[Prix total Achat]]))</f>
        <v>1.09375</v>
      </c>
      <c r="Z12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12" s="139">
        <f>IF(ISBLANK(Table1368[[#This Row],[Date relisting]]),"",IF(ISBLANK(Table1368[[#This Row],[Date relisting]]),TODAY(),Table1368[[#This Row],[Date relisting]])-Table1368[[#This Row],[Date réception Achat]])</f>
        <v>6</v>
      </c>
      <c r="AB12" s="139">
        <f>IF(ISBLANK(Table1368[[#This Row],[Date revente]]),"",IF(ISBLANK(Table1368[[#This Row],[Date revente]]),TODAY(),Table1368[[#This Row],[Date revente]])-Table1368[[#This Row],[Date relisting]])</f>
        <v>36</v>
      </c>
      <c r="AC12" s="139">
        <f>IF(ISBLANK(Table1368[[#This Row],[Date revente]]),"",IF(ISBLANK(Table1368[[#This Row],[Date revente]]),TODAY(),Table1368[[#This Row],[Date revente]])-Table1368[[#This Row],[Date réception Achat]])</f>
        <v>42</v>
      </c>
      <c r="AD12" s="139">
        <f>IF(ISBLANK(Table1368[[#This Row],[Date revente]]),"",IF(ISBLANK(Table1368[[#This Row],[Date revente]]),TODAY(),Table1368[[#This Row],[Date revente]])-Table1368[[#This Row],[Date achat]])</f>
        <v>54</v>
      </c>
    </row>
    <row r="13" spans="1:30" x14ac:dyDescent="0.25">
      <c r="A13" s="134">
        <v>45917</v>
      </c>
      <c r="B13" s="141" t="s">
        <v>192</v>
      </c>
      <c r="C13" s="134" t="s">
        <v>193</v>
      </c>
      <c r="D13" s="127" t="s">
        <v>157</v>
      </c>
      <c r="E13" s="127"/>
      <c r="F13" s="127"/>
      <c r="G13" s="134" t="s">
        <v>163</v>
      </c>
      <c r="H13" s="127" t="s">
        <v>194</v>
      </c>
      <c r="I13" s="134" t="s">
        <v>165</v>
      </c>
      <c r="J13" s="134" t="s">
        <v>157</v>
      </c>
      <c r="K13" s="135">
        <v>11</v>
      </c>
      <c r="L13" s="135">
        <f>Table1368[[#This Row],[Prix total Achat]]-Table1368[[#This Row],[Prix article]]</f>
        <v>30</v>
      </c>
      <c r="M13" s="135">
        <v>41</v>
      </c>
      <c r="N13" s="134">
        <v>45929</v>
      </c>
      <c r="O13" s="136">
        <f>(Table1368[[#This Row],[Prix total Achat]]*2)</f>
        <v>82</v>
      </c>
      <c r="P13" s="136">
        <f>Table1368[[#This Row],[Prix Min voulu (x2 )]]*1.2</f>
        <v>98.39999999999999</v>
      </c>
      <c r="Q13" s="134">
        <v>45935</v>
      </c>
      <c r="R13" s="134">
        <v>46000</v>
      </c>
      <c r="S13" s="135">
        <v>80</v>
      </c>
      <c r="T13" s="134" t="s">
        <v>160</v>
      </c>
      <c r="U13" s="134" t="s">
        <v>157</v>
      </c>
      <c r="V13" s="137">
        <f>IF(ISBLANK(Table1368[[#This Row],[Date réception Achat]]),"",IF(ISBLANK(Table1368[[#This Row],[Date revente]]),TODAY(),Table1368[[#This Row],[Date revente]])-Table1368[[#This Row],[Date réception Achat]])</f>
        <v>71</v>
      </c>
      <c r="W1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" s="135">
        <f>IF(Table1368[[#This Row],[Prix de revente]]="","",Table1368[[#This Row],[Prix de revente]]-Table1368[[#This Row],[Prix total Achat]])</f>
        <v>39</v>
      </c>
      <c r="Y13" s="138">
        <f>IF(Table1368[[#This Row],[Prix de revente]]="","",(Table1368[[#This Row],[Prix de revente]]/Table1368[[#This Row],[Prix total Achat]]))</f>
        <v>1.951219512195122</v>
      </c>
      <c r="Z13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13" s="139">
        <f>IF(ISBLANK(Table1368[[#This Row],[Date relisting]]),"",IF(ISBLANK(Table1368[[#This Row],[Date relisting]]),TODAY(),Table1368[[#This Row],[Date relisting]])-Table1368[[#This Row],[Date réception Achat]])</f>
        <v>6</v>
      </c>
      <c r="AB13" s="139">
        <f>IF(ISBLANK(Table1368[[#This Row],[Date revente]]),"",IF(ISBLANK(Table1368[[#This Row],[Date revente]]),TODAY(),Table1368[[#This Row],[Date revente]])-Table1368[[#This Row],[Date relisting]])</f>
        <v>65</v>
      </c>
      <c r="AC13" s="139">
        <f>IF(ISBLANK(Table1368[[#This Row],[Date revente]]),"",IF(ISBLANK(Table1368[[#This Row],[Date revente]]),TODAY(),Table1368[[#This Row],[Date revente]])-Table1368[[#This Row],[Date réception Achat]])</f>
        <v>71</v>
      </c>
      <c r="AD13" s="139">
        <f>IF(ISBLANK(Table1368[[#This Row],[Date revente]]),"",IF(ISBLANK(Table1368[[#This Row],[Date revente]]),TODAY(),Table1368[[#This Row],[Date revente]])-Table1368[[#This Row],[Date achat]])</f>
        <v>83</v>
      </c>
    </row>
    <row r="14" spans="1:30" x14ac:dyDescent="0.25">
      <c r="A14" s="134">
        <v>45917</v>
      </c>
      <c r="B14" s="141" t="s">
        <v>195</v>
      </c>
      <c r="C14" s="134" t="s">
        <v>196</v>
      </c>
      <c r="D14" s="127" t="s">
        <v>157</v>
      </c>
      <c r="E14" s="127"/>
      <c r="F14" s="127"/>
      <c r="G14" s="134" t="s">
        <v>173</v>
      </c>
      <c r="H14" s="127" t="s">
        <v>174</v>
      </c>
      <c r="I14" s="134" t="s">
        <v>165</v>
      </c>
      <c r="J14" s="134" t="s">
        <v>157</v>
      </c>
      <c r="K14" s="135">
        <v>26</v>
      </c>
      <c r="L14" s="135">
        <f>Table1368[[#This Row],[Prix total Achat]]-Table1368[[#This Row],[Prix article]]</f>
        <v>30</v>
      </c>
      <c r="M14" s="135">
        <v>56</v>
      </c>
      <c r="N14" s="134">
        <v>45926</v>
      </c>
      <c r="O14" s="136">
        <f>(Table1368[[#This Row],[Prix total Achat]]*2)</f>
        <v>112</v>
      </c>
      <c r="P14" s="136">
        <f>Table1368[[#This Row],[Prix Min voulu (x2 )]]*1.2</f>
        <v>134.4</v>
      </c>
      <c r="Q14" s="134">
        <v>45935</v>
      </c>
      <c r="R14" s="134">
        <v>46007</v>
      </c>
      <c r="S14" s="135">
        <v>75</v>
      </c>
      <c r="T14" s="134" t="s">
        <v>160</v>
      </c>
      <c r="U14" s="134" t="s">
        <v>157</v>
      </c>
      <c r="V14" s="137">
        <f>IF(ISBLANK(Table1368[[#This Row],[Date réception Achat]]),"",IF(ISBLANK(Table1368[[#This Row],[Date revente]]),TODAY(),Table1368[[#This Row],[Date revente]])-Table1368[[#This Row],[Date réception Achat]])</f>
        <v>81</v>
      </c>
      <c r="W1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" s="135">
        <f>IF(Table1368[[#This Row],[Prix de revente]]="","",Table1368[[#This Row],[Prix de revente]]-Table1368[[#This Row],[Prix total Achat]])</f>
        <v>19</v>
      </c>
      <c r="Y14" s="138">
        <f>IF(Table1368[[#This Row],[Prix de revente]]="","",(Table1368[[#This Row],[Prix de revente]]/Table1368[[#This Row],[Prix total Achat]]))</f>
        <v>1.3392857142857142</v>
      </c>
      <c r="Z14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14" s="139">
        <f>IF(ISBLANK(Table1368[[#This Row],[Date relisting]]),"",IF(ISBLANK(Table1368[[#This Row],[Date relisting]]),TODAY(),Table1368[[#This Row],[Date relisting]])-Table1368[[#This Row],[Date réception Achat]])</f>
        <v>9</v>
      </c>
      <c r="AB14" s="139">
        <f>IF(ISBLANK(Table1368[[#This Row],[Date revente]]),"",IF(ISBLANK(Table1368[[#This Row],[Date revente]]),TODAY(),Table1368[[#This Row],[Date revente]])-Table1368[[#This Row],[Date relisting]])</f>
        <v>72</v>
      </c>
      <c r="AC14" s="139">
        <f>IF(ISBLANK(Table1368[[#This Row],[Date revente]]),"",IF(ISBLANK(Table1368[[#This Row],[Date revente]]),TODAY(),Table1368[[#This Row],[Date revente]])-Table1368[[#This Row],[Date réception Achat]])</f>
        <v>81</v>
      </c>
      <c r="AD14" s="139">
        <f>IF(ISBLANK(Table1368[[#This Row],[Date revente]]),"",IF(ISBLANK(Table1368[[#This Row],[Date revente]]),TODAY(),Table1368[[#This Row],[Date revente]])-Table1368[[#This Row],[Date achat]])</f>
        <v>90</v>
      </c>
    </row>
    <row r="15" spans="1:30" x14ac:dyDescent="0.25">
      <c r="A15" s="134">
        <v>45920</v>
      </c>
      <c r="B15" s="134" t="s">
        <v>197</v>
      </c>
      <c r="C15" s="134" t="s">
        <v>198</v>
      </c>
      <c r="D15" s="127" t="s">
        <v>157</v>
      </c>
      <c r="E15" s="127"/>
      <c r="F15" s="127"/>
      <c r="G15" s="134" t="s">
        <v>199</v>
      </c>
      <c r="H15" s="127" t="s">
        <v>164</v>
      </c>
      <c r="I15" s="134" t="s">
        <v>160</v>
      </c>
      <c r="J15" s="134" t="s">
        <v>157</v>
      </c>
      <c r="K15" s="135">
        <v>5</v>
      </c>
      <c r="L15" s="135">
        <f>Table1368[[#This Row],[Prix total Achat]]-Table1368[[#This Row],[Prix article]]</f>
        <v>3.74</v>
      </c>
      <c r="M15" s="135">
        <v>8.74</v>
      </c>
      <c r="N15" s="134">
        <v>45927</v>
      </c>
      <c r="O15" s="136">
        <f>(Table1368[[#This Row],[Prix total Achat]]*2)</f>
        <v>17.48</v>
      </c>
      <c r="P15" s="136">
        <f>Table1368[[#This Row],[Prix Min voulu (x2 )]]*1.2</f>
        <v>20.976</v>
      </c>
      <c r="Q15" s="134">
        <v>45932</v>
      </c>
      <c r="R15" s="134">
        <v>45996</v>
      </c>
      <c r="S15" s="135">
        <v>20</v>
      </c>
      <c r="T15" s="134" t="s">
        <v>160</v>
      </c>
      <c r="U15" s="134" t="s">
        <v>157</v>
      </c>
      <c r="V15" s="137">
        <f>IF(ISBLANK(Table1368[[#This Row],[Date réception Achat]]),"",IF(ISBLANK(Table1368[[#This Row],[Date revente]]),TODAY(),Table1368[[#This Row],[Date revente]])-Table1368[[#This Row],[Date réception Achat]])</f>
        <v>69</v>
      </c>
      <c r="W1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5" s="135">
        <f>IF(Table1368[[#This Row],[Prix de revente]]="","",Table1368[[#This Row],[Prix de revente]]-Table1368[[#This Row],[Prix total Achat]])</f>
        <v>11.26</v>
      </c>
      <c r="Y15" s="138">
        <f>IF(Table1368[[#This Row],[Prix de revente]]="","",(Table1368[[#This Row],[Prix de revente]]/Table1368[[#This Row],[Prix total Achat]]))</f>
        <v>2.2883295194508007</v>
      </c>
      <c r="Z15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5" s="139">
        <f>IF(ISBLANK(Table1368[[#This Row],[Date relisting]]),"",IF(ISBLANK(Table1368[[#This Row],[Date relisting]]),TODAY(),Table1368[[#This Row],[Date relisting]])-Table1368[[#This Row],[Date réception Achat]])</f>
        <v>5</v>
      </c>
      <c r="AB15" s="139">
        <f>IF(ISBLANK(Table1368[[#This Row],[Date revente]]),"",IF(ISBLANK(Table1368[[#This Row],[Date revente]]),TODAY(),Table1368[[#This Row],[Date revente]])-Table1368[[#This Row],[Date relisting]])</f>
        <v>64</v>
      </c>
      <c r="AC15" s="139">
        <f>IF(ISBLANK(Table1368[[#This Row],[Date revente]]),"",IF(ISBLANK(Table1368[[#This Row],[Date revente]]),TODAY(),Table1368[[#This Row],[Date revente]])-Table1368[[#This Row],[Date réception Achat]])</f>
        <v>69</v>
      </c>
      <c r="AD15" s="139">
        <f>IF(ISBLANK(Table1368[[#This Row],[Date revente]]),"",IF(ISBLANK(Table1368[[#This Row],[Date revente]]),TODAY(),Table1368[[#This Row],[Date revente]])-Table1368[[#This Row],[Date achat]])</f>
        <v>76</v>
      </c>
    </row>
    <row r="16" spans="1:30" x14ac:dyDescent="0.25">
      <c r="A16" s="134">
        <v>45921</v>
      </c>
      <c r="B16" s="134" t="s">
        <v>200</v>
      </c>
      <c r="C16" s="134" t="s">
        <v>201</v>
      </c>
      <c r="D16" s="127" t="s">
        <v>157</v>
      </c>
      <c r="E16" s="127"/>
      <c r="F16" s="127"/>
      <c r="G16" t="s">
        <v>202</v>
      </c>
      <c r="H16" s="127">
        <v>34</v>
      </c>
      <c r="I16" s="134" t="s">
        <v>160</v>
      </c>
      <c r="J16" s="134" t="s">
        <v>157</v>
      </c>
      <c r="K16" s="135">
        <v>27.5</v>
      </c>
      <c r="L16" s="135">
        <f>Table1368[[#This Row],[Prix total Achat]]-Table1368[[#This Row],[Prix article]]</f>
        <v>4.48</v>
      </c>
      <c r="M16" s="135">
        <v>31.98</v>
      </c>
      <c r="N16" s="134">
        <v>45929</v>
      </c>
      <c r="O16" s="136">
        <f>(Table1368[[#This Row],[Prix total Achat]]*2)</f>
        <v>63.96</v>
      </c>
      <c r="P16" s="136">
        <f>Table1368[[#This Row],[Prix Min voulu (x2 )]]*1.2</f>
        <v>76.752</v>
      </c>
      <c r="Q16" s="134">
        <v>45933</v>
      </c>
      <c r="R16" s="134">
        <v>46133</v>
      </c>
      <c r="S16" s="135">
        <v>62.5</v>
      </c>
      <c r="T16" s="134" t="s">
        <v>160</v>
      </c>
      <c r="U16" s="134" t="s">
        <v>157</v>
      </c>
      <c r="V16" s="137">
        <f>IF(ISBLANK(Table1368[[#This Row],[Date réception Achat]]),"",IF(ISBLANK(Table1368[[#This Row],[Date revente]]),TODAY(),Table1368[[#This Row],[Date revente]])-Table1368[[#This Row],[Date réception Achat]])</f>
        <v>204</v>
      </c>
      <c r="W1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6" s="135">
        <f>IF(Table1368[[#This Row],[Prix de revente]]="","",Table1368[[#This Row],[Prix de revente]]-Table1368[[#This Row],[Prix total Achat]])</f>
        <v>30.52</v>
      </c>
      <c r="Y16" s="138">
        <f>IF(Table1368[[#This Row],[Prix de revente]]="","",(Table1368[[#This Row],[Prix de revente]]/Table1368[[#This Row],[Prix total Achat]]))</f>
        <v>1.9543464665415884</v>
      </c>
      <c r="Z16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16" s="139">
        <f>IF(ISBLANK(Table1368[[#This Row],[Date relisting]]),"",IF(ISBLANK(Table1368[[#This Row],[Date relisting]]),TODAY(),Table1368[[#This Row],[Date relisting]])-Table1368[[#This Row],[Date réception Achat]])</f>
        <v>4</v>
      </c>
      <c r="AB16" s="139">
        <f>IF(ISBLANK(Table1368[[#This Row],[Date revente]]),"",IF(ISBLANK(Table1368[[#This Row],[Date revente]]),TODAY(),Table1368[[#This Row],[Date revente]])-Table1368[[#This Row],[Date relisting]])</f>
        <v>200</v>
      </c>
      <c r="AC16" s="139">
        <f>IF(ISBLANK(Table1368[[#This Row],[Date revente]]),"",IF(ISBLANK(Table1368[[#This Row],[Date revente]]),TODAY(),Table1368[[#This Row],[Date revente]])-Table1368[[#This Row],[Date réception Achat]])</f>
        <v>204</v>
      </c>
      <c r="AD16" s="139">
        <f>IF(ISBLANK(Table1368[[#This Row],[Date revente]]),"",IF(ISBLANK(Table1368[[#This Row],[Date revente]]),TODAY(),Table1368[[#This Row],[Date revente]])-Table1368[[#This Row],[Date achat]])</f>
        <v>212</v>
      </c>
    </row>
    <row r="17" spans="1:30" x14ac:dyDescent="0.25">
      <c r="A17" s="134">
        <v>45921</v>
      </c>
      <c r="B17" s="134" t="s">
        <v>203</v>
      </c>
      <c r="C17" s="134" t="s">
        <v>204</v>
      </c>
      <c r="D17" s="127" t="s">
        <v>157</v>
      </c>
      <c r="E17" s="127"/>
      <c r="F17" s="127"/>
      <c r="G17" t="s">
        <v>202</v>
      </c>
      <c r="H17" s="127" t="s">
        <v>164</v>
      </c>
      <c r="I17" s="134" t="s">
        <v>160</v>
      </c>
      <c r="J17" s="134" t="s">
        <v>157</v>
      </c>
      <c r="K17" s="135">
        <v>27.5</v>
      </c>
      <c r="L17" s="135">
        <f>Table1368[[#This Row],[Prix total Achat]]-Table1368[[#This Row],[Prix article]]</f>
        <v>4.48</v>
      </c>
      <c r="M17" s="135">
        <v>31.98</v>
      </c>
      <c r="N17" s="134">
        <v>45929</v>
      </c>
      <c r="O17" s="136">
        <f>(Table1368[[#This Row],[Prix total Achat]]*2)</f>
        <v>63.96</v>
      </c>
      <c r="P17" s="136">
        <f>Table1368[[#This Row],[Prix Min voulu (x2 )]]*1.2</f>
        <v>76.752</v>
      </c>
      <c r="Q17" s="134">
        <v>45933</v>
      </c>
      <c r="R17" s="134">
        <v>46133</v>
      </c>
      <c r="S17" s="135">
        <v>62.5</v>
      </c>
      <c r="T17" s="134" t="s">
        <v>160</v>
      </c>
      <c r="U17" s="134" t="s">
        <v>157</v>
      </c>
      <c r="V17" s="137">
        <f>IF(ISBLANK(Table1368[[#This Row],[Date réception Achat]]),"",IF(ISBLANK(Table1368[[#This Row],[Date revente]]),TODAY(),Table1368[[#This Row],[Date revente]])-Table1368[[#This Row],[Date réception Achat]])</f>
        <v>204</v>
      </c>
      <c r="W1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" s="135">
        <f>IF(Table1368[[#This Row],[Prix de revente]]="","",Table1368[[#This Row],[Prix de revente]]-Table1368[[#This Row],[Prix total Achat]])</f>
        <v>30.52</v>
      </c>
      <c r="Y17" s="138">
        <f>IF(Table1368[[#This Row],[Prix de revente]]="","",(Table1368[[#This Row],[Prix de revente]]/Table1368[[#This Row],[Prix total Achat]]))</f>
        <v>1.9543464665415884</v>
      </c>
      <c r="Z17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17" s="139">
        <f>IF(ISBLANK(Table1368[[#This Row],[Date relisting]]),"",IF(ISBLANK(Table1368[[#This Row],[Date relisting]]),TODAY(),Table1368[[#This Row],[Date relisting]])-Table1368[[#This Row],[Date réception Achat]])</f>
        <v>4</v>
      </c>
      <c r="AB17" s="139">
        <f>IF(ISBLANK(Table1368[[#This Row],[Date revente]]),"",IF(ISBLANK(Table1368[[#This Row],[Date revente]]),TODAY(),Table1368[[#This Row],[Date revente]])-Table1368[[#This Row],[Date relisting]])</f>
        <v>200</v>
      </c>
      <c r="AC17" s="139">
        <f>IF(ISBLANK(Table1368[[#This Row],[Date revente]]),"",IF(ISBLANK(Table1368[[#This Row],[Date revente]]),TODAY(),Table1368[[#This Row],[Date revente]])-Table1368[[#This Row],[Date réception Achat]])</f>
        <v>204</v>
      </c>
      <c r="AD17" s="139">
        <f>IF(ISBLANK(Table1368[[#This Row],[Date revente]]),"",IF(ISBLANK(Table1368[[#This Row],[Date revente]]),TODAY(),Table1368[[#This Row],[Date revente]])-Table1368[[#This Row],[Date achat]])</f>
        <v>212</v>
      </c>
    </row>
    <row r="18" spans="1:30" x14ac:dyDescent="0.25">
      <c r="A18" s="134">
        <v>45932</v>
      </c>
      <c r="B18" s="134" t="s">
        <v>205</v>
      </c>
      <c r="C18" s="134" t="s">
        <v>206</v>
      </c>
      <c r="D18" s="127" t="s">
        <v>157</v>
      </c>
      <c r="E18" s="127"/>
      <c r="F18" s="127"/>
      <c r="G18" t="s">
        <v>202</v>
      </c>
      <c r="H18" s="127" t="s">
        <v>178</v>
      </c>
      <c r="I18" s="134" t="s">
        <v>160</v>
      </c>
      <c r="J18" s="134" t="s">
        <v>157</v>
      </c>
      <c r="K18" s="135">
        <v>90</v>
      </c>
      <c r="L18" s="135">
        <f>Table1368[[#This Row],[Prix total Achat]]-Table1368[[#This Row],[Prix article]]</f>
        <v>8.290000000000006</v>
      </c>
      <c r="M18" s="135">
        <v>98.29</v>
      </c>
      <c r="N18" s="134">
        <v>45937</v>
      </c>
      <c r="O18" s="136">
        <f>(Table1368[[#This Row],[Prix total Achat]]*2)</f>
        <v>196.58</v>
      </c>
      <c r="P18" s="136">
        <f>Table1368[[#This Row],[Prix Min voulu (x2 )]]*1.2</f>
        <v>235.89600000000002</v>
      </c>
      <c r="Q18" s="134">
        <v>45940</v>
      </c>
      <c r="R18" s="134">
        <v>45999</v>
      </c>
      <c r="S18" s="135">
        <v>250</v>
      </c>
      <c r="T18" s="134" t="s">
        <v>160</v>
      </c>
      <c r="U18" s="134" t="s">
        <v>157</v>
      </c>
      <c r="V18" s="137">
        <f>IF(ISBLANK(Table1368[[#This Row],[Date réception Achat]]),"",IF(ISBLANK(Table1368[[#This Row],[Date revente]]),TODAY(),Table1368[[#This Row],[Date revente]])-Table1368[[#This Row],[Date réception Achat]])</f>
        <v>62</v>
      </c>
      <c r="W1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" s="135">
        <f>IF(Table1368[[#This Row],[Prix de revente]]="","",Table1368[[#This Row],[Prix de revente]]-Table1368[[#This Row],[Prix total Achat]])</f>
        <v>151.70999999999998</v>
      </c>
      <c r="Y18" s="138">
        <f>IF(Table1368[[#This Row],[Prix de revente]]="","",(Table1368[[#This Row],[Prix de revente]]/Table1368[[#This Row],[Prix total Achat]]))</f>
        <v>2.543493743005392</v>
      </c>
      <c r="Z18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18" s="139">
        <f>IF(ISBLANK(Table1368[[#This Row],[Date relisting]]),"",IF(ISBLANK(Table1368[[#This Row],[Date relisting]]),TODAY(),Table1368[[#This Row],[Date relisting]])-Table1368[[#This Row],[Date réception Achat]])</f>
        <v>3</v>
      </c>
      <c r="AB18" s="139">
        <f>IF(ISBLANK(Table1368[[#This Row],[Date revente]]),"",IF(ISBLANK(Table1368[[#This Row],[Date revente]]),TODAY(),Table1368[[#This Row],[Date revente]])-Table1368[[#This Row],[Date relisting]])</f>
        <v>59</v>
      </c>
      <c r="AC18" s="139">
        <f>IF(ISBLANK(Table1368[[#This Row],[Date revente]]),"",IF(ISBLANK(Table1368[[#This Row],[Date revente]]),TODAY(),Table1368[[#This Row],[Date revente]])-Table1368[[#This Row],[Date réception Achat]])</f>
        <v>62</v>
      </c>
      <c r="AD18" s="139">
        <f>IF(ISBLANK(Table1368[[#This Row],[Date revente]]),"",IF(ISBLANK(Table1368[[#This Row],[Date revente]]),TODAY(),Table1368[[#This Row],[Date revente]])-Table1368[[#This Row],[Date achat]])</f>
        <v>67</v>
      </c>
    </row>
    <row r="19" spans="1:30" x14ac:dyDescent="0.25">
      <c r="A19" s="134">
        <v>45934</v>
      </c>
      <c r="B19" s="134" t="s">
        <v>207</v>
      </c>
      <c r="C19" s="134" t="s">
        <v>208</v>
      </c>
      <c r="D19" s="127" t="s">
        <v>157</v>
      </c>
      <c r="E19" s="127"/>
      <c r="F19" s="127"/>
      <c r="G19" t="s">
        <v>209</v>
      </c>
      <c r="H19" s="127" t="s">
        <v>164</v>
      </c>
      <c r="I19" s="134" t="s">
        <v>160</v>
      </c>
      <c r="J19" s="134" t="s">
        <v>157</v>
      </c>
      <c r="K19" s="135">
        <v>8</v>
      </c>
      <c r="L19" s="135">
        <f>Table1368[[#This Row],[Prix total Achat]]-Table1368[[#This Row],[Prix article]]</f>
        <v>4.49</v>
      </c>
      <c r="M19" s="135">
        <v>12.49</v>
      </c>
      <c r="N19" s="134">
        <v>45944</v>
      </c>
      <c r="O19" s="136">
        <f>(Table1368[[#This Row],[Prix total Achat]]*2)</f>
        <v>24.98</v>
      </c>
      <c r="P19" s="136">
        <f>Table1368[[#This Row],[Prix Min voulu (x2 )]]*1.2</f>
        <v>29.976</v>
      </c>
      <c r="Q19" s="134">
        <v>45947</v>
      </c>
      <c r="R19" s="134">
        <v>45955</v>
      </c>
      <c r="S19" s="135">
        <v>20</v>
      </c>
      <c r="T19" s="134" t="s">
        <v>160</v>
      </c>
      <c r="U19" s="134" t="s">
        <v>157</v>
      </c>
      <c r="V19" s="137">
        <f>IF(ISBLANK(Table1368[[#This Row],[Date réception Achat]]),"",IF(ISBLANK(Table1368[[#This Row],[Date revente]]),TODAY(),Table1368[[#This Row],[Date revente]])-Table1368[[#This Row],[Date réception Achat]])</f>
        <v>11</v>
      </c>
      <c r="W1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" s="135">
        <f>IF(Table1368[[#This Row],[Prix de revente]]="","",Table1368[[#This Row],[Prix de revente]]-Table1368[[#This Row],[Prix total Achat]])</f>
        <v>7.51</v>
      </c>
      <c r="Y19" s="138">
        <f>IF(Table1368[[#This Row],[Prix de revente]]="","",(Table1368[[#This Row],[Prix de revente]]/Table1368[[#This Row],[Prix total Achat]]))</f>
        <v>1.601281024819856</v>
      </c>
      <c r="Z19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19" s="139">
        <f>IF(ISBLANK(Table1368[[#This Row],[Date relisting]]),"",IF(ISBLANK(Table1368[[#This Row],[Date relisting]]),TODAY(),Table1368[[#This Row],[Date relisting]])-Table1368[[#This Row],[Date réception Achat]])</f>
        <v>3</v>
      </c>
      <c r="AB19" s="139">
        <f>IF(ISBLANK(Table1368[[#This Row],[Date revente]]),"",IF(ISBLANK(Table1368[[#This Row],[Date revente]]),TODAY(),Table1368[[#This Row],[Date revente]])-Table1368[[#This Row],[Date relisting]])</f>
        <v>8</v>
      </c>
      <c r="AC19" s="139">
        <f>IF(ISBLANK(Table1368[[#This Row],[Date revente]]),"",IF(ISBLANK(Table1368[[#This Row],[Date revente]]),TODAY(),Table1368[[#This Row],[Date revente]])-Table1368[[#This Row],[Date réception Achat]])</f>
        <v>11</v>
      </c>
      <c r="AD19" s="139">
        <f>IF(ISBLANK(Table1368[[#This Row],[Date revente]]),"",IF(ISBLANK(Table1368[[#This Row],[Date revente]]),TODAY(),Table1368[[#This Row],[Date revente]])-Table1368[[#This Row],[Date achat]])</f>
        <v>21</v>
      </c>
    </row>
    <row r="20" spans="1:30" x14ac:dyDescent="0.25">
      <c r="A20" s="134">
        <v>45943</v>
      </c>
      <c r="B20" s="134" t="s">
        <v>210</v>
      </c>
      <c r="C20" s="134" t="s">
        <v>211</v>
      </c>
      <c r="D20" s="127" t="s">
        <v>157</v>
      </c>
      <c r="E20" s="127"/>
      <c r="F20" s="127"/>
      <c r="G20" t="s">
        <v>212</v>
      </c>
      <c r="H20" s="127" t="s">
        <v>213</v>
      </c>
      <c r="I20" s="134" t="s">
        <v>160</v>
      </c>
      <c r="J20" s="134" t="s">
        <v>157</v>
      </c>
      <c r="K20" s="135">
        <v>10</v>
      </c>
      <c r="L20" s="135">
        <f>Table1368[[#This Row],[Prix total Achat]]-Table1368[[#This Row],[Prix article]]</f>
        <v>6.190000000000001</v>
      </c>
      <c r="M20" s="135">
        <v>16.19</v>
      </c>
      <c r="N20" s="134">
        <v>45950</v>
      </c>
      <c r="O20" s="136">
        <f>(Table1368[[#This Row],[Prix total Achat]]*2)</f>
        <v>32.38</v>
      </c>
      <c r="P20" s="136">
        <f>Table1368[[#This Row],[Prix Min voulu (x2 )]]*1.2</f>
        <v>38.856</v>
      </c>
      <c r="Q20" s="134">
        <v>45957</v>
      </c>
      <c r="R20" s="134">
        <v>45963</v>
      </c>
      <c r="S20" s="135">
        <v>80</v>
      </c>
      <c r="T20" s="134" t="s">
        <v>160</v>
      </c>
      <c r="U20" s="134" t="s">
        <v>157</v>
      </c>
      <c r="V20" s="137">
        <f>IF(ISBLANK(Table1368[[#This Row],[Date réception Achat]]),"",IF(ISBLANK(Table1368[[#This Row],[Date revente]]),TODAY(),Table1368[[#This Row],[Date revente]])-Table1368[[#This Row],[Date réception Achat]])</f>
        <v>13</v>
      </c>
      <c r="W2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" s="135">
        <f>IF(Table1368[[#This Row],[Prix de revente]]="","",Table1368[[#This Row],[Prix de revente]]-Table1368[[#This Row],[Prix total Achat]])</f>
        <v>63.81</v>
      </c>
      <c r="Y20" s="138">
        <f>IF(Table1368[[#This Row],[Prix de revente]]="","",(Table1368[[#This Row],[Prix de revente]]/Table1368[[#This Row],[Prix total Achat]]))</f>
        <v>4.941321803582458</v>
      </c>
      <c r="Z20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0" s="139">
        <f>IF(ISBLANK(Table1368[[#This Row],[Date relisting]]),"",IF(ISBLANK(Table1368[[#This Row],[Date relisting]]),TODAY(),Table1368[[#This Row],[Date relisting]])-Table1368[[#This Row],[Date réception Achat]])</f>
        <v>7</v>
      </c>
      <c r="AB20" s="139">
        <f>IF(ISBLANK(Table1368[[#This Row],[Date revente]]),"",IF(ISBLANK(Table1368[[#This Row],[Date revente]]),TODAY(),Table1368[[#This Row],[Date revente]])-Table1368[[#This Row],[Date relisting]])</f>
        <v>6</v>
      </c>
      <c r="AC20" s="139">
        <f>IF(ISBLANK(Table1368[[#This Row],[Date revente]]),"",IF(ISBLANK(Table1368[[#This Row],[Date revente]]),TODAY(),Table1368[[#This Row],[Date revente]])-Table1368[[#This Row],[Date réception Achat]])</f>
        <v>13</v>
      </c>
      <c r="AD20" s="139">
        <f>IF(ISBLANK(Table1368[[#This Row],[Date revente]]),"",IF(ISBLANK(Table1368[[#This Row],[Date revente]]),TODAY(),Table1368[[#This Row],[Date revente]])-Table1368[[#This Row],[Date achat]])</f>
        <v>20</v>
      </c>
    </row>
    <row r="21" ht="15.75" customHeight="1" spans="1:30" x14ac:dyDescent="0.25">
      <c r="A21" s="134">
        <v>45947</v>
      </c>
      <c r="B21" s="142" t="s">
        <v>214</v>
      </c>
      <c r="C21" s="134" t="s">
        <v>215</v>
      </c>
      <c r="D21" s="127" t="s">
        <v>157</v>
      </c>
      <c r="E21" s="127"/>
      <c r="F21" s="127"/>
      <c r="G21" s="134" t="s">
        <v>163</v>
      </c>
      <c r="H21" s="127" t="s">
        <v>178</v>
      </c>
      <c r="I21" s="134" t="s">
        <v>165</v>
      </c>
      <c r="J21" s="134" t="s">
        <v>157</v>
      </c>
      <c r="K21" s="135">
        <v>11</v>
      </c>
      <c r="L21" s="135">
        <f>Table1368[[#This Row],[Prix total Achat]]-Table1368[[#This Row],[Prix article]]</f>
        <v>23</v>
      </c>
      <c r="M21" s="135">
        <v>34</v>
      </c>
      <c r="N21" s="134">
        <v>45957</v>
      </c>
      <c r="O21" s="136">
        <f>(Table1368[[#This Row],[Prix total Achat]]*2)</f>
        <v>68</v>
      </c>
      <c r="P21" s="136">
        <f>Table1368[[#This Row],[Prix Min voulu (x2 )]]*1.2</f>
        <v>81.6</v>
      </c>
      <c r="Q21" s="134">
        <v>45960</v>
      </c>
      <c r="R21" s="134">
        <v>45990</v>
      </c>
      <c r="S21" s="135">
        <v>60</v>
      </c>
      <c r="T21" s="134" t="s">
        <v>160</v>
      </c>
      <c r="U21" s="134" t="s">
        <v>157</v>
      </c>
      <c r="V21" s="137">
        <f>IF(ISBLANK(Table1368[[#This Row],[Date réception Achat]]),"",IF(ISBLANK(Table1368[[#This Row],[Date revente]]),TODAY(),Table1368[[#This Row],[Date revente]])-Table1368[[#This Row],[Date réception Achat]])</f>
        <v>33</v>
      </c>
      <c r="W2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1" s="135">
        <f>IF(Table1368[[#This Row],[Prix de revente]]="","",Table1368[[#This Row],[Prix de revente]]-Table1368[[#This Row],[Prix total Achat]])</f>
        <v>26</v>
      </c>
      <c r="Y21" s="138">
        <f>IF(Table1368[[#This Row],[Prix de revente]]="","",(Table1368[[#This Row],[Prix de revente]]/Table1368[[#This Row],[Prix total Achat]]))</f>
        <v>1.7647058823529411</v>
      </c>
      <c r="Z21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1" s="139">
        <f>IF(ISBLANK(Table1368[[#This Row],[Date relisting]]),"",IF(ISBLANK(Table1368[[#This Row],[Date relisting]]),TODAY(),Table1368[[#This Row],[Date relisting]])-Table1368[[#This Row],[Date réception Achat]])</f>
        <v>3</v>
      </c>
      <c r="AB21" s="139">
        <f>IF(ISBLANK(Table1368[[#This Row],[Date revente]]),"",IF(ISBLANK(Table1368[[#This Row],[Date revente]]),TODAY(),Table1368[[#This Row],[Date revente]])-Table1368[[#This Row],[Date relisting]])</f>
        <v>30</v>
      </c>
      <c r="AC21" s="139">
        <f>IF(ISBLANK(Table1368[[#This Row],[Date revente]]),"",IF(ISBLANK(Table1368[[#This Row],[Date revente]]),TODAY(),Table1368[[#This Row],[Date revente]])-Table1368[[#This Row],[Date réception Achat]])</f>
        <v>33</v>
      </c>
      <c r="AD21" s="139">
        <f>IF(ISBLANK(Table1368[[#This Row],[Date revente]]),"",IF(ISBLANK(Table1368[[#This Row],[Date revente]]),TODAY(),Table1368[[#This Row],[Date revente]])-Table1368[[#This Row],[Date achat]])</f>
        <v>43</v>
      </c>
    </row>
    <row r="22" spans="1:30" x14ac:dyDescent="0.25">
      <c r="A22" s="134">
        <v>45947</v>
      </c>
      <c r="B22" s="141" t="s">
        <v>216</v>
      </c>
      <c r="C22" s="134" t="s">
        <v>217</v>
      </c>
      <c r="D22" s="127" t="s">
        <v>157</v>
      </c>
      <c r="E22" s="127"/>
      <c r="F22" s="127"/>
      <c r="G22" s="134" t="s">
        <v>163</v>
      </c>
      <c r="H22" s="127" t="s">
        <v>194</v>
      </c>
      <c r="I22" s="134" t="s">
        <v>165</v>
      </c>
      <c r="J22" s="134" t="s">
        <v>157</v>
      </c>
      <c r="K22" s="135">
        <v>28</v>
      </c>
      <c r="L22" s="135">
        <f>Table1368[[#This Row],[Prix total Achat]]-Table1368[[#This Row],[Prix article]]</f>
        <v>24</v>
      </c>
      <c r="M22" s="135">
        <v>52</v>
      </c>
      <c r="N22" s="134">
        <v>45957</v>
      </c>
      <c r="O22" s="136">
        <f>(Table1368[[#This Row],[Prix total Achat]]*2)</f>
        <v>104</v>
      </c>
      <c r="P22" s="136">
        <f>Table1368[[#This Row],[Prix Min voulu (x2 )]]*1.2</f>
        <v>124.8</v>
      </c>
      <c r="Q22" s="134">
        <v>45960</v>
      </c>
      <c r="R22" s="134">
        <v>45991</v>
      </c>
      <c r="S22" s="135">
        <v>88.7</v>
      </c>
      <c r="T22" s="134" t="s">
        <v>218</v>
      </c>
      <c r="U22" s="134" t="s">
        <v>219</v>
      </c>
      <c r="V22" s="137">
        <f>IF(ISBLANK(Table1368[[#This Row],[Date réception Achat]]),"",IF(ISBLANK(Table1368[[#This Row],[Date revente]]),TODAY(),Table1368[[#This Row],[Date revente]])-Table1368[[#This Row],[Date réception Achat]])</f>
        <v>34</v>
      </c>
      <c r="W2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2" s="135">
        <f>IF(Table1368[[#This Row],[Prix de revente]]="","",Table1368[[#This Row],[Prix de revente]]-Table1368[[#This Row],[Prix total Achat]])</f>
        <v>36.7</v>
      </c>
      <c r="Y22" s="138">
        <f>IF(Table1368[[#This Row],[Prix de revente]]="","",(Table1368[[#This Row],[Prix de revente]]/Table1368[[#This Row],[Prix total Achat]]))</f>
        <v>1.705769230769231</v>
      </c>
      <c r="Z22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2" s="139">
        <f>IF(ISBLANK(Table1368[[#This Row],[Date relisting]]),"",IF(ISBLANK(Table1368[[#This Row],[Date relisting]]),TODAY(),Table1368[[#This Row],[Date relisting]])-Table1368[[#This Row],[Date réception Achat]])</f>
        <v>3</v>
      </c>
      <c r="AB22" s="139">
        <f>IF(ISBLANK(Table1368[[#This Row],[Date revente]]),"",IF(ISBLANK(Table1368[[#This Row],[Date revente]]),TODAY(),Table1368[[#This Row],[Date revente]])-Table1368[[#This Row],[Date relisting]])</f>
        <v>31</v>
      </c>
      <c r="AC22" s="139">
        <f>IF(ISBLANK(Table1368[[#This Row],[Date revente]]),"",IF(ISBLANK(Table1368[[#This Row],[Date revente]]),TODAY(),Table1368[[#This Row],[Date revente]])-Table1368[[#This Row],[Date réception Achat]])</f>
        <v>34</v>
      </c>
      <c r="AD22" s="139">
        <f>IF(ISBLANK(Table1368[[#This Row],[Date revente]]),"",IF(ISBLANK(Table1368[[#This Row],[Date revente]]),TODAY(),Table1368[[#This Row],[Date revente]])-Table1368[[#This Row],[Date achat]])</f>
        <v>44</v>
      </c>
    </row>
    <row r="23" spans="1:30" x14ac:dyDescent="0.25">
      <c r="A23" s="134">
        <v>45947</v>
      </c>
      <c r="B23" s="141" t="s">
        <v>220</v>
      </c>
      <c r="C23" s="134" t="s">
        <v>221</v>
      </c>
      <c r="D23" s="127" t="s">
        <v>157</v>
      </c>
      <c r="E23" s="127"/>
      <c r="F23" s="127"/>
      <c r="G23" s="134" t="s">
        <v>163</v>
      </c>
      <c r="H23" s="127" t="s">
        <v>178</v>
      </c>
      <c r="I23" s="134" t="s">
        <v>165</v>
      </c>
      <c r="J23" s="134" t="s">
        <v>157</v>
      </c>
      <c r="K23" s="135">
        <v>22</v>
      </c>
      <c r="L23" s="135">
        <f>Table1368[[#This Row],[Prix total Achat]]-Table1368[[#This Row],[Prix article]]</f>
        <v>23</v>
      </c>
      <c r="M23" s="135">
        <v>45</v>
      </c>
      <c r="N23" s="134">
        <v>45957</v>
      </c>
      <c r="O23" s="136">
        <f>(Table1368[[#This Row],[Prix total Achat]]*2)</f>
        <v>90</v>
      </c>
      <c r="P23" s="136">
        <f>Table1368[[#This Row],[Prix Min voulu (x2 )]]*1.2</f>
        <v>108</v>
      </c>
      <c r="Q23" s="134">
        <v>45960</v>
      </c>
      <c r="R23" s="134">
        <v>46014</v>
      </c>
      <c r="S23" s="135">
        <v>80</v>
      </c>
      <c r="T23" s="134" t="s">
        <v>160</v>
      </c>
      <c r="U23" s="134" t="s">
        <v>157</v>
      </c>
      <c r="V23" s="137">
        <f>IF(ISBLANK(Table1368[[#This Row],[Date réception Achat]]),"",IF(ISBLANK(Table1368[[#This Row],[Date revente]]),TODAY(),Table1368[[#This Row],[Date revente]])-Table1368[[#This Row],[Date réception Achat]])</f>
        <v>57</v>
      </c>
      <c r="W2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3" s="135">
        <f>IF(Table1368[[#This Row],[Prix de revente]]="","",Table1368[[#This Row],[Prix de revente]]-Table1368[[#This Row],[Prix total Achat]])</f>
        <v>35</v>
      </c>
      <c r="Y23" s="138">
        <f>IF(Table1368[[#This Row],[Prix de revente]]="","",(Table1368[[#This Row],[Prix de revente]]/Table1368[[#This Row],[Prix total Achat]]))</f>
        <v>1.7777777777777777</v>
      </c>
      <c r="Z23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3" s="139">
        <f>IF(ISBLANK(Table1368[[#This Row],[Date relisting]]),"",IF(ISBLANK(Table1368[[#This Row],[Date relisting]]),TODAY(),Table1368[[#This Row],[Date relisting]])-Table1368[[#This Row],[Date réception Achat]])</f>
        <v>3</v>
      </c>
      <c r="AB23" s="139">
        <f>IF(ISBLANK(Table1368[[#This Row],[Date revente]]),"",IF(ISBLANK(Table1368[[#This Row],[Date revente]]),TODAY(),Table1368[[#This Row],[Date revente]])-Table1368[[#This Row],[Date relisting]])</f>
        <v>54</v>
      </c>
      <c r="AC23" s="139">
        <f>IF(ISBLANK(Table1368[[#This Row],[Date revente]]),"",IF(ISBLANK(Table1368[[#This Row],[Date revente]]),TODAY(),Table1368[[#This Row],[Date revente]])-Table1368[[#This Row],[Date réception Achat]])</f>
        <v>57</v>
      </c>
      <c r="AD23" s="139">
        <f>IF(ISBLANK(Table1368[[#This Row],[Date revente]]),"",IF(ISBLANK(Table1368[[#This Row],[Date revente]]),TODAY(),Table1368[[#This Row],[Date revente]])-Table1368[[#This Row],[Date achat]])</f>
        <v>67</v>
      </c>
    </row>
    <row r="24" spans="1:30" x14ac:dyDescent="0.25">
      <c r="A24" s="134">
        <v>45947</v>
      </c>
      <c r="B24" s="143" t="s">
        <v>222</v>
      </c>
      <c r="C24" s="134" t="s">
        <v>223</v>
      </c>
      <c r="D24" s="127" t="s">
        <v>157</v>
      </c>
      <c r="E24" s="127"/>
      <c r="F24" s="127"/>
      <c r="G24" s="134" t="s">
        <v>163</v>
      </c>
      <c r="H24" s="127" t="s">
        <v>178</v>
      </c>
      <c r="I24" s="134" t="s">
        <v>165</v>
      </c>
      <c r="J24" s="134" t="s">
        <v>157</v>
      </c>
      <c r="K24" s="135">
        <v>11</v>
      </c>
      <c r="L24" s="135">
        <f>Table1368[[#This Row],[Prix total Achat]]-Table1368[[#This Row],[Prix article]]</f>
        <v>24</v>
      </c>
      <c r="M24" s="135">
        <v>35</v>
      </c>
      <c r="N24" s="134">
        <v>45957</v>
      </c>
      <c r="O24" s="136">
        <f>(Table1368[[#This Row],[Prix total Achat]]*2)</f>
        <v>70</v>
      </c>
      <c r="P24" s="136">
        <f>Table1368[[#This Row],[Prix Min voulu (x2 )]]*1.2</f>
        <v>84</v>
      </c>
      <c r="Q24" s="134">
        <v>45960</v>
      </c>
      <c r="R24" s="134">
        <v>46084</v>
      </c>
      <c r="S24" s="135">
        <v>32</v>
      </c>
      <c r="T24" s="134" t="s">
        <v>160</v>
      </c>
      <c r="U24" s="134" t="s">
        <v>157</v>
      </c>
      <c r="V24" s="137">
        <f>IF(ISBLANK(Table1368[[#This Row],[Date réception Achat]]),"",IF(ISBLANK(Table1368[[#This Row],[Date revente]]),TODAY(),Table1368[[#This Row],[Date revente]])-Table1368[[#This Row],[Date réception Achat]])</f>
        <v>127</v>
      </c>
      <c r="W2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" s="135">
        <f>IF(Table1368[[#This Row],[Prix de revente]]="","",Table1368[[#This Row],[Prix de revente]]-Table1368[[#This Row],[Prix total Achat]])</f>
        <v>-3</v>
      </c>
      <c r="Y24" s="138">
        <f>IF(Table1368[[#This Row],[Prix de revente]]="","",(Table1368[[#This Row],[Prix de revente]]/Table1368[[#This Row],[Prix total Achat]]))</f>
        <v>0.9142857142857143</v>
      </c>
      <c r="Z24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4" s="139">
        <f>IF(ISBLANK(Table1368[[#This Row],[Date relisting]]),"",IF(ISBLANK(Table1368[[#This Row],[Date relisting]]),TODAY(),Table1368[[#This Row],[Date relisting]])-Table1368[[#This Row],[Date réception Achat]])</f>
        <v>3</v>
      </c>
      <c r="AB24" s="139">
        <f>IF(ISBLANK(Table1368[[#This Row],[Date revente]]),"",IF(ISBLANK(Table1368[[#This Row],[Date revente]]),TODAY(),Table1368[[#This Row],[Date revente]])-Table1368[[#This Row],[Date relisting]])</f>
        <v>124</v>
      </c>
      <c r="AC24" s="139">
        <f>IF(ISBLANK(Table1368[[#This Row],[Date revente]]),"",IF(ISBLANK(Table1368[[#This Row],[Date revente]]),TODAY(),Table1368[[#This Row],[Date revente]])-Table1368[[#This Row],[Date réception Achat]])</f>
        <v>127</v>
      </c>
      <c r="AD24" s="139">
        <f>IF(ISBLANK(Table1368[[#This Row],[Date revente]]),"",IF(ISBLANK(Table1368[[#This Row],[Date revente]]),TODAY(),Table1368[[#This Row],[Date revente]])-Table1368[[#This Row],[Date achat]])</f>
        <v>137</v>
      </c>
    </row>
    <row r="25" spans="1:30" x14ac:dyDescent="0.25">
      <c r="A25" s="134">
        <v>45947</v>
      </c>
      <c r="B25" s="142" t="s">
        <v>224</v>
      </c>
      <c r="C25" s="134" t="s">
        <v>225</v>
      </c>
      <c r="D25" s="127" t="s">
        <v>157</v>
      </c>
      <c r="E25" s="127"/>
      <c r="F25" s="127"/>
      <c r="G25" s="134" t="s">
        <v>163</v>
      </c>
      <c r="H25" s="127" t="s">
        <v>178</v>
      </c>
      <c r="I25" s="134" t="s">
        <v>165</v>
      </c>
      <c r="J25" s="134" t="s">
        <v>157</v>
      </c>
      <c r="K25" s="135">
        <v>6</v>
      </c>
      <c r="L25" s="135">
        <f>Table1368[[#This Row],[Prix total Achat]]-Table1368[[#This Row],[Prix article]]</f>
        <v>23</v>
      </c>
      <c r="M25" s="135">
        <v>29</v>
      </c>
      <c r="N25" s="134">
        <v>45957</v>
      </c>
      <c r="O25" s="136">
        <f>(Table1368[[#This Row],[Prix total Achat]]*2)</f>
        <v>58</v>
      </c>
      <c r="P25" s="136">
        <f>Table1368[[#This Row],[Prix Min voulu (x2 )]]*1.2</f>
        <v>69.6</v>
      </c>
      <c r="Q25" s="134">
        <v>45960</v>
      </c>
      <c r="R25" s="134">
        <v>46103</v>
      </c>
      <c r="S25" s="135">
        <v>20</v>
      </c>
      <c r="T25" s="134" t="s">
        <v>160</v>
      </c>
      <c r="U25" s="134" t="s">
        <v>157</v>
      </c>
      <c r="V25" s="137">
        <f>IF(ISBLANK(Table1368[[#This Row],[Date réception Achat]]),"",IF(ISBLANK(Table1368[[#This Row],[Date revente]]),TODAY(),Table1368[[#This Row],[Date revente]])-Table1368[[#This Row],[Date réception Achat]])</f>
        <v>146</v>
      </c>
      <c r="W2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" s="135">
        <f>IF(Table1368[[#This Row],[Prix de revente]]="","",Table1368[[#This Row],[Prix de revente]]-Table1368[[#This Row],[Prix total Achat]])</f>
        <v>-9</v>
      </c>
      <c r="Y25" s="138">
        <f>IF(Table1368[[#This Row],[Prix de revente]]="","",(Table1368[[#This Row],[Prix de revente]]/Table1368[[#This Row],[Prix total Achat]]))</f>
        <v>0.6896551724137931</v>
      </c>
      <c r="Z25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5" s="139">
        <f>IF(ISBLANK(Table1368[[#This Row],[Date relisting]]),"",IF(ISBLANK(Table1368[[#This Row],[Date relisting]]),TODAY(),Table1368[[#This Row],[Date relisting]])-Table1368[[#This Row],[Date réception Achat]])</f>
        <v>3</v>
      </c>
      <c r="AB25" s="139">
        <f>IF(ISBLANK(Table1368[[#This Row],[Date revente]]),"",IF(ISBLANK(Table1368[[#This Row],[Date revente]]),TODAY(),Table1368[[#This Row],[Date revente]])-Table1368[[#This Row],[Date relisting]])</f>
        <v>143</v>
      </c>
      <c r="AC25" s="139">
        <f>IF(ISBLANK(Table1368[[#This Row],[Date revente]]),"",IF(ISBLANK(Table1368[[#This Row],[Date revente]]),TODAY(),Table1368[[#This Row],[Date revente]])-Table1368[[#This Row],[Date réception Achat]])</f>
        <v>146</v>
      </c>
      <c r="AD25" s="139">
        <f>IF(ISBLANK(Table1368[[#This Row],[Date revente]]),"",IF(ISBLANK(Table1368[[#This Row],[Date revente]]),TODAY(),Table1368[[#This Row],[Date revente]])-Table1368[[#This Row],[Date achat]])</f>
        <v>156</v>
      </c>
    </row>
    <row r="26" spans="1:30" x14ac:dyDescent="0.25">
      <c r="A26" s="134">
        <v>45948</v>
      </c>
      <c r="B26" s="134" t="s">
        <v>226</v>
      </c>
      <c r="C26" s="134" t="s">
        <v>227</v>
      </c>
      <c r="D26" s="127" t="s">
        <v>157</v>
      </c>
      <c r="E26" s="127"/>
      <c r="F26" s="127"/>
      <c r="G26" t="s">
        <v>228</v>
      </c>
      <c r="H26" s="127">
        <v>34</v>
      </c>
      <c r="I26" s="134" t="s">
        <v>160</v>
      </c>
      <c r="J26" s="134" t="s">
        <v>157</v>
      </c>
      <c r="K26" s="135">
        <v>3</v>
      </c>
      <c r="L26" s="135">
        <f>Table1368[[#This Row],[Prix total Achat]]-Table1368[[#This Row],[Prix article]]</f>
        <v>3.74</v>
      </c>
      <c r="M26" s="135">
        <v>6.74</v>
      </c>
      <c r="N26" s="134">
        <v>45959</v>
      </c>
      <c r="O26" s="136">
        <f>(Table1368[[#This Row],[Prix total Achat]]*2)</f>
        <v>13.48</v>
      </c>
      <c r="P26" s="136">
        <f>Table1368[[#This Row],[Prix Min voulu (x2 )]]*1.2</f>
        <v>16.176</v>
      </c>
      <c r="Q26" s="134">
        <v>45961</v>
      </c>
      <c r="R26" s="134">
        <v>45962</v>
      </c>
      <c r="S26" s="135">
        <v>49.5</v>
      </c>
      <c r="T26" s="134" t="s">
        <v>160</v>
      </c>
      <c r="U26" s="134" t="s">
        <v>157</v>
      </c>
      <c r="V26" s="137">
        <f>IF(ISBLANK(Table1368[[#This Row],[Date réception Achat]]),"",IF(ISBLANK(Table1368[[#This Row],[Date revente]]),TODAY(),Table1368[[#This Row],[Date revente]])-Table1368[[#This Row],[Date réception Achat]])</f>
        <v>3</v>
      </c>
      <c r="W2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6" s="135">
        <f>IF(Table1368[[#This Row],[Prix de revente]]="","",Table1368[[#This Row],[Prix de revente]]-Table1368[[#This Row],[Prix total Achat]])</f>
        <v>42.76</v>
      </c>
      <c r="Y26" s="138">
        <f>IF(Table1368[[#This Row],[Prix de revente]]="","",(Table1368[[#This Row],[Prix de revente]]/Table1368[[#This Row],[Prix total Achat]]))</f>
        <v>7.344213649851632</v>
      </c>
      <c r="Z26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6" s="139">
        <f>IF(ISBLANK(Table1368[[#This Row],[Date relisting]]),"",IF(ISBLANK(Table1368[[#This Row],[Date relisting]]),TODAY(),Table1368[[#This Row],[Date relisting]])-Table1368[[#This Row],[Date réception Achat]])</f>
        <v>2</v>
      </c>
      <c r="AB26" s="139">
        <f>IF(ISBLANK(Table1368[[#This Row],[Date revente]]),"",IF(ISBLANK(Table1368[[#This Row],[Date revente]]),TODAY(),Table1368[[#This Row],[Date revente]])-Table1368[[#This Row],[Date relisting]])</f>
        <v>1</v>
      </c>
      <c r="AC26" s="139">
        <f>IF(ISBLANK(Table1368[[#This Row],[Date revente]]),"",IF(ISBLANK(Table1368[[#This Row],[Date revente]]),TODAY(),Table1368[[#This Row],[Date revente]])-Table1368[[#This Row],[Date réception Achat]])</f>
        <v>3</v>
      </c>
      <c r="AD26" s="139">
        <f>IF(ISBLANK(Table1368[[#This Row],[Date revente]]),"",IF(ISBLANK(Table1368[[#This Row],[Date revente]]),TODAY(),Table1368[[#This Row],[Date revente]])-Table1368[[#This Row],[Date achat]])</f>
        <v>14</v>
      </c>
    </row>
    <row r="27" spans="1:30" x14ac:dyDescent="0.25">
      <c r="A27" s="134">
        <v>45948</v>
      </c>
      <c r="B27" s="134" t="s">
        <v>229</v>
      </c>
      <c r="C27" s="134" t="s">
        <v>230</v>
      </c>
      <c r="D27" s="127" t="s">
        <v>157</v>
      </c>
      <c r="E27" s="127"/>
      <c r="F27" s="127"/>
      <c r="G27" t="s">
        <v>212</v>
      </c>
      <c r="H27" s="127" t="s">
        <v>164</v>
      </c>
      <c r="I27" s="134" t="s">
        <v>160</v>
      </c>
      <c r="J27" s="134" t="s">
        <v>157</v>
      </c>
      <c r="K27" s="135">
        <v>30</v>
      </c>
      <c r="L27" s="135">
        <f>Table1368[[#This Row],[Prix total Achat]]-Table1368[[#This Row],[Prix article]]</f>
        <v>5.149999999999999</v>
      </c>
      <c r="M27" s="135">
        <v>35.15</v>
      </c>
      <c r="N27" s="134">
        <v>45957</v>
      </c>
      <c r="O27" s="136">
        <f>(Table1368[[#This Row],[Prix total Achat]]*2)</f>
        <v>70.3</v>
      </c>
      <c r="P27" s="136">
        <f>Table1368[[#This Row],[Prix Min voulu (x2 )]]*1.2</f>
        <v>84.36</v>
      </c>
      <c r="Q27" s="134">
        <v>45961</v>
      </c>
      <c r="R27" s="134">
        <v>45995</v>
      </c>
      <c r="S27" s="135">
        <v>75</v>
      </c>
      <c r="T27" s="134" t="s">
        <v>160</v>
      </c>
      <c r="U27" s="134" t="s">
        <v>157</v>
      </c>
      <c r="V27" s="137">
        <f>IF(ISBLANK(Table1368[[#This Row],[Date réception Achat]]),"",IF(ISBLANK(Table1368[[#This Row],[Date revente]]),TODAY(),Table1368[[#This Row],[Date revente]])-Table1368[[#This Row],[Date réception Achat]])</f>
        <v>38</v>
      </c>
      <c r="W2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" s="135">
        <f>IF(Table1368[[#This Row],[Prix de revente]]="","",Table1368[[#This Row],[Prix de revente]]-Table1368[[#This Row],[Prix total Achat]])</f>
        <v>39.85</v>
      </c>
      <c r="Y27" s="138">
        <f>IF(Table1368[[#This Row],[Prix de revente]]="","",(Table1368[[#This Row],[Prix de revente]]/Table1368[[#This Row],[Prix total Achat]]))</f>
        <v>2.1337126600284497</v>
      </c>
      <c r="Z27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27" s="139">
        <f>IF(ISBLANK(Table1368[[#This Row],[Date relisting]]),"",IF(ISBLANK(Table1368[[#This Row],[Date relisting]]),TODAY(),Table1368[[#This Row],[Date relisting]])-Table1368[[#This Row],[Date réception Achat]])</f>
        <v>4</v>
      </c>
      <c r="AB27" s="139">
        <f>IF(ISBLANK(Table1368[[#This Row],[Date revente]]),"",IF(ISBLANK(Table1368[[#This Row],[Date revente]]),TODAY(),Table1368[[#This Row],[Date revente]])-Table1368[[#This Row],[Date relisting]])</f>
        <v>34</v>
      </c>
      <c r="AC27" s="139">
        <f>IF(ISBLANK(Table1368[[#This Row],[Date revente]]),"",IF(ISBLANK(Table1368[[#This Row],[Date revente]]),TODAY(),Table1368[[#This Row],[Date revente]])-Table1368[[#This Row],[Date réception Achat]])</f>
        <v>38</v>
      </c>
      <c r="AD27" s="139">
        <f>IF(ISBLANK(Table1368[[#This Row],[Date revente]]),"",IF(ISBLANK(Table1368[[#This Row],[Date revente]]),TODAY(),Table1368[[#This Row],[Date revente]])-Table1368[[#This Row],[Date achat]])</f>
        <v>47</v>
      </c>
    </row>
    <row r="28" spans="1:30" x14ac:dyDescent="0.25">
      <c r="A28" s="134">
        <v>45950</v>
      </c>
      <c r="B28" s="134" t="s">
        <v>231</v>
      </c>
      <c r="C28" s="134" t="s">
        <v>232</v>
      </c>
      <c r="D28" s="127" t="s">
        <v>157</v>
      </c>
      <c r="E28" s="127"/>
      <c r="F28" s="127"/>
      <c r="G28" t="s">
        <v>233</v>
      </c>
      <c r="H28" s="127">
        <v>45</v>
      </c>
      <c r="I28" s="134" t="s">
        <v>160</v>
      </c>
      <c r="J28" s="134" t="s">
        <v>157</v>
      </c>
      <c r="K28" s="135">
        <v>60</v>
      </c>
      <c r="L28" s="135">
        <f>Table1368[[#This Row],[Prix total Achat]]-Table1368[[#This Row],[Prix article]]</f>
        <v>6.689999999999998</v>
      </c>
      <c r="M28" s="135">
        <v>66.69</v>
      </c>
      <c r="N28" s="134">
        <v>45955</v>
      </c>
      <c r="O28" s="136">
        <f>(Table1368[[#This Row],[Prix total Achat]]*2)</f>
        <v>133.38</v>
      </c>
      <c r="P28" s="136">
        <f>Table1368[[#This Row],[Prix Min voulu (x2 )]]*1.2</f>
        <v>160.05599999999998</v>
      </c>
      <c r="Q28" s="134">
        <v>45961</v>
      </c>
      <c r="R28" s="134">
        <v>45963</v>
      </c>
      <c r="S28" s="135">
        <v>120</v>
      </c>
      <c r="T28" s="134" t="s">
        <v>160</v>
      </c>
      <c r="U28" s="134" t="s">
        <v>157</v>
      </c>
      <c r="V28" s="137">
        <f>IF(ISBLANK(Table1368[[#This Row],[Date réception Achat]]),"",IF(ISBLANK(Table1368[[#This Row],[Date revente]]),TODAY(),Table1368[[#This Row],[Date revente]])-Table1368[[#This Row],[Date réception Achat]])</f>
        <v>8</v>
      </c>
      <c r="W2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" s="135">
        <f>IF(Table1368[[#This Row],[Prix de revente]]="","",Table1368[[#This Row],[Prix de revente]]-Table1368[[#This Row],[Prix total Achat]])</f>
        <v>53.31</v>
      </c>
      <c r="Y28" s="138">
        <f>IF(Table1368[[#This Row],[Prix de revente]]="","",(Table1368[[#This Row],[Prix de revente]]/Table1368[[#This Row],[Prix total Achat]]))</f>
        <v>1.799370220422852</v>
      </c>
      <c r="Z28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28" s="139">
        <f>IF(ISBLANK(Table1368[[#This Row],[Date relisting]]),"",IF(ISBLANK(Table1368[[#This Row],[Date relisting]]),TODAY(),Table1368[[#This Row],[Date relisting]])-Table1368[[#This Row],[Date réception Achat]])</f>
        <v>6</v>
      </c>
      <c r="AB28" s="139">
        <f>IF(ISBLANK(Table1368[[#This Row],[Date revente]]),"",IF(ISBLANK(Table1368[[#This Row],[Date revente]]),TODAY(),Table1368[[#This Row],[Date revente]])-Table1368[[#This Row],[Date relisting]])</f>
        <v>2</v>
      </c>
      <c r="AC28" s="139">
        <f>IF(ISBLANK(Table1368[[#This Row],[Date revente]]),"",IF(ISBLANK(Table1368[[#This Row],[Date revente]]),TODAY(),Table1368[[#This Row],[Date revente]])-Table1368[[#This Row],[Date réception Achat]])</f>
        <v>8</v>
      </c>
      <c r="AD28" s="139">
        <f>IF(ISBLANK(Table1368[[#This Row],[Date revente]]),"",IF(ISBLANK(Table1368[[#This Row],[Date revente]]),TODAY(),Table1368[[#This Row],[Date revente]])-Table1368[[#This Row],[Date achat]])</f>
        <v>13</v>
      </c>
    </row>
    <row r="29" spans="1:30" x14ac:dyDescent="0.25">
      <c r="A29" s="134">
        <v>45950</v>
      </c>
      <c r="B29" s="144" t="s">
        <v>234</v>
      </c>
      <c r="C29" s="134" t="s">
        <v>235</v>
      </c>
      <c r="D29" s="127" t="s">
        <v>157</v>
      </c>
      <c r="E29" s="127"/>
      <c r="F29" s="127"/>
      <c r="G29" t="s">
        <v>158</v>
      </c>
      <c r="H29" s="127">
        <v>34</v>
      </c>
      <c r="I29" s="134" t="s">
        <v>160</v>
      </c>
      <c r="J29" s="134" t="s">
        <v>157</v>
      </c>
      <c r="K29" s="135">
        <v>30</v>
      </c>
      <c r="L29" s="135">
        <f>Table1368[[#This Row],[Prix total Achat]]-Table1368[[#This Row],[Prix article]]</f>
        <v>6.590000000000003</v>
      </c>
      <c r="M29" s="135">
        <v>36.59</v>
      </c>
      <c r="N29" s="134">
        <v>45957</v>
      </c>
      <c r="O29" s="136">
        <f>(Table1368[[#This Row],[Prix total Achat]]*2)</f>
        <v>73.18</v>
      </c>
      <c r="P29" s="136">
        <f>Table1368[[#This Row],[Prix Min voulu (x2 )]]*1.2</f>
        <v>87.816</v>
      </c>
      <c r="Q29" s="134">
        <v>45968</v>
      </c>
      <c r="R29" s="134">
        <v>45980</v>
      </c>
      <c r="S29" s="135">
        <v>85</v>
      </c>
      <c r="T29" s="134" t="s">
        <v>160</v>
      </c>
      <c r="U29" s="134" t="s">
        <v>157</v>
      </c>
      <c r="V29" s="137">
        <f>IF(ISBLANK(Table1368[[#This Row],[Date réception Achat]]),"",IF(ISBLANK(Table1368[[#This Row],[Date revente]]),TODAY(),Table1368[[#This Row],[Date revente]])-Table1368[[#This Row],[Date réception Achat]])</f>
        <v>23</v>
      </c>
      <c r="W2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9" s="135">
        <f>IF(Table1368[[#This Row],[Prix de revente]]="","",Table1368[[#This Row],[Prix de revente]]-Table1368[[#This Row],[Prix total Achat]])</f>
        <v>48.41</v>
      </c>
      <c r="Y29" s="138">
        <f>IF(Table1368[[#This Row],[Prix de revente]]="","",(Table1368[[#This Row],[Prix de revente]]/Table1368[[#This Row],[Prix total Achat]]))</f>
        <v>2.3230390817163156</v>
      </c>
      <c r="Z29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9" s="139">
        <f>IF(ISBLANK(Table1368[[#This Row],[Date relisting]]),"",IF(ISBLANK(Table1368[[#This Row],[Date relisting]]),TODAY(),Table1368[[#This Row],[Date relisting]])-Table1368[[#This Row],[Date réception Achat]])</f>
        <v>11</v>
      </c>
      <c r="AB29" s="139">
        <f>IF(ISBLANK(Table1368[[#This Row],[Date revente]]),"",IF(ISBLANK(Table1368[[#This Row],[Date revente]]),TODAY(),Table1368[[#This Row],[Date revente]])-Table1368[[#This Row],[Date relisting]])</f>
        <v>12</v>
      </c>
      <c r="AC29" s="139">
        <f>IF(ISBLANK(Table1368[[#This Row],[Date revente]]),"",IF(ISBLANK(Table1368[[#This Row],[Date revente]]),TODAY(),Table1368[[#This Row],[Date revente]])-Table1368[[#This Row],[Date réception Achat]])</f>
        <v>23</v>
      </c>
      <c r="AD29" s="139">
        <f>IF(ISBLANK(Table1368[[#This Row],[Date revente]]),"",IF(ISBLANK(Table1368[[#This Row],[Date revente]]),TODAY(),Table1368[[#This Row],[Date revente]])-Table1368[[#This Row],[Date achat]])</f>
        <v>30</v>
      </c>
    </row>
    <row r="30" spans="1:30" x14ac:dyDescent="0.25">
      <c r="A30" s="134">
        <v>45950</v>
      </c>
      <c r="B30" s="134" t="s">
        <v>236</v>
      </c>
      <c r="C30" s="134" t="s">
        <v>237</v>
      </c>
      <c r="D30" s="127" t="s">
        <v>157</v>
      </c>
      <c r="E30" s="127"/>
      <c r="F30" s="127"/>
      <c r="G30" t="s">
        <v>238</v>
      </c>
      <c r="H30" s="127" t="s">
        <v>164</v>
      </c>
      <c r="I30" s="134" t="s">
        <v>160</v>
      </c>
      <c r="J30" s="134" t="s">
        <v>157</v>
      </c>
      <c r="K30" s="135">
        <v>25</v>
      </c>
      <c r="L30" s="135">
        <f>Table1368[[#This Row],[Prix total Achat]]-Table1368[[#This Row],[Prix article]]</f>
        <v>6.539999999999999</v>
      </c>
      <c r="M30" s="135">
        <v>31.54</v>
      </c>
      <c r="N30" s="134">
        <v>45957</v>
      </c>
      <c r="O30" s="136">
        <f>(Table1368[[#This Row],[Prix total Achat]]*2)</f>
        <v>63.08</v>
      </c>
      <c r="P30" s="136">
        <f>Table1368[[#This Row],[Prix Min voulu (x2 )]]*1.2</f>
        <v>75.696</v>
      </c>
      <c r="Q30" s="134">
        <v>45980</v>
      </c>
      <c r="R30" s="134">
        <v>46114</v>
      </c>
      <c r="S30" s="135">
        <v>180</v>
      </c>
      <c r="T30" s="134" t="s">
        <v>160</v>
      </c>
      <c r="U30" s="134" t="s">
        <v>157</v>
      </c>
      <c r="V30" s="137">
        <f>IF(ISBLANK(Table1368[[#This Row],[Date réception Achat]]),"",IF(ISBLANK(Table1368[[#This Row],[Date revente]]),TODAY(),Table1368[[#This Row],[Date revente]])-Table1368[[#This Row],[Date réception Achat]])</f>
        <v>157</v>
      </c>
      <c r="W3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0" s="135">
        <f>IF(Table1368[[#This Row],[Prix de revente]]="","",Table1368[[#This Row],[Prix de revente]]-Table1368[[#This Row],[Prix total Achat]])</f>
        <v>148.46</v>
      </c>
      <c r="Y30" s="138">
        <f>IF(Table1368[[#This Row],[Prix de revente]]="","",(Table1368[[#This Row],[Prix de revente]]/Table1368[[#This Row],[Prix total Achat]]))</f>
        <v>5.70703868103995</v>
      </c>
      <c r="Z30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0" s="139">
        <f>IF(ISBLANK(Table1368[[#This Row],[Date relisting]]),"",IF(ISBLANK(Table1368[[#This Row],[Date relisting]]),TODAY(),Table1368[[#This Row],[Date relisting]])-Table1368[[#This Row],[Date réception Achat]])</f>
        <v>23</v>
      </c>
      <c r="AB30" s="139">
        <f>IF(ISBLANK(Table1368[[#This Row],[Date revente]]),"",IF(ISBLANK(Table1368[[#This Row],[Date revente]]),TODAY(),Table1368[[#This Row],[Date revente]])-Table1368[[#This Row],[Date relisting]])</f>
        <v>134</v>
      </c>
      <c r="AC30" s="139">
        <f>IF(ISBLANK(Table1368[[#This Row],[Date revente]]),"",IF(ISBLANK(Table1368[[#This Row],[Date revente]]),TODAY(),Table1368[[#This Row],[Date revente]])-Table1368[[#This Row],[Date réception Achat]])</f>
        <v>157</v>
      </c>
      <c r="AD30" s="139">
        <f>IF(ISBLANK(Table1368[[#This Row],[Date revente]]),"",IF(ISBLANK(Table1368[[#This Row],[Date revente]]),TODAY(),Table1368[[#This Row],[Date revente]])-Table1368[[#This Row],[Date achat]])</f>
        <v>164</v>
      </c>
    </row>
    <row r="31" spans="1:30" x14ac:dyDescent="0.25">
      <c r="A31" s="134">
        <v>45958</v>
      </c>
      <c r="B31" s="134" t="s">
        <v>239</v>
      </c>
      <c r="C31" s="134" t="s">
        <v>240</v>
      </c>
      <c r="D31" s="127" t="s">
        <v>157</v>
      </c>
      <c r="E31" s="127"/>
      <c r="F31" s="127"/>
      <c r="G31" t="s">
        <v>158</v>
      </c>
      <c r="H31" s="127" t="s">
        <v>241</v>
      </c>
      <c r="I31" s="134" t="s">
        <v>160</v>
      </c>
      <c r="J31" s="134" t="s">
        <v>157</v>
      </c>
      <c r="K31" s="135">
        <v>20</v>
      </c>
      <c r="L31" s="135">
        <f>Table1368[[#This Row],[Prix total Achat]]-Table1368[[#This Row],[Prix article]]</f>
        <v>4.890000000000001</v>
      </c>
      <c r="M31" s="135">
        <v>24.89</v>
      </c>
      <c r="N31" s="134">
        <v>45973</v>
      </c>
      <c r="O31" s="136">
        <f>(Table1368[[#This Row],[Prix total Achat]]*2)</f>
        <v>49.78</v>
      </c>
      <c r="P31" s="136">
        <f>Table1368[[#This Row],[Prix Min voulu (x2 )]]*1.2</f>
        <v>59.736</v>
      </c>
      <c r="Q31" s="134">
        <v>45975</v>
      </c>
      <c r="R31" s="134">
        <v>45985</v>
      </c>
      <c r="S31" s="135">
        <v>100</v>
      </c>
      <c r="T31" s="134" t="s">
        <v>160</v>
      </c>
      <c r="U31" s="134" t="s">
        <v>157</v>
      </c>
      <c r="V31" s="137">
        <f>IF(ISBLANK(Table1368[[#This Row],[Date réception Achat]]),"",IF(ISBLANK(Table1368[[#This Row],[Date revente]]),TODAY(),Table1368[[#This Row],[Date revente]])-Table1368[[#This Row],[Date réception Achat]])</f>
        <v>12</v>
      </c>
      <c r="W3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1" s="135">
        <f>IF(Table1368[[#This Row],[Prix de revente]]="","",Table1368[[#This Row],[Prix de revente]]-Table1368[[#This Row],[Prix total Achat]])</f>
        <v>75.11</v>
      </c>
      <c r="Y31" s="138">
        <f>IF(Table1368[[#This Row],[Prix de revente]]="","",(Table1368[[#This Row],[Prix de revente]]/Table1368[[#This Row],[Prix total Achat]]))</f>
        <v>4.017677782241864</v>
      </c>
      <c r="Z31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31" s="139">
        <f>IF(ISBLANK(Table1368[[#This Row],[Date relisting]]),"",IF(ISBLANK(Table1368[[#This Row],[Date relisting]]),TODAY(),Table1368[[#This Row],[Date relisting]])-Table1368[[#This Row],[Date réception Achat]])</f>
        <v>2</v>
      </c>
      <c r="AB31" s="139">
        <f>IF(ISBLANK(Table1368[[#This Row],[Date revente]]),"",IF(ISBLANK(Table1368[[#This Row],[Date revente]]),TODAY(),Table1368[[#This Row],[Date revente]])-Table1368[[#This Row],[Date relisting]])</f>
        <v>10</v>
      </c>
      <c r="AC31" s="139">
        <f>IF(ISBLANK(Table1368[[#This Row],[Date revente]]),"",IF(ISBLANK(Table1368[[#This Row],[Date revente]]),TODAY(),Table1368[[#This Row],[Date revente]])-Table1368[[#This Row],[Date réception Achat]])</f>
        <v>12</v>
      </c>
      <c r="AD31" s="139">
        <f>IF(ISBLANK(Table1368[[#This Row],[Date revente]]),"",IF(ISBLANK(Table1368[[#This Row],[Date revente]]),TODAY(),Table1368[[#This Row],[Date revente]])-Table1368[[#This Row],[Date achat]])</f>
        <v>27</v>
      </c>
    </row>
    <row r="32" spans="1:30" x14ac:dyDescent="0.25">
      <c r="A32" s="134">
        <v>45969</v>
      </c>
      <c r="B32" s="141" t="s">
        <v>207</v>
      </c>
      <c r="C32" s="134" t="s">
        <v>242</v>
      </c>
      <c r="D32" s="127" t="s">
        <v>157</v>
      </c>
      <c r="E32" s="127"/>
      <c r="F32" s="127"/>
      <c r="G32" s="134" t="s">
        <v>209</v>
      </c>
      <c r="H32" s="127" t="s">
        <v>178</v>
      </c>
      <c r="I32" s="134" t="s">
        <v>160</v>
      </c>
      <c r="J32" s="134" t="s">
        <v>157</v>
      </c>
      <c r="K32" s="135">
        <v>7.5</v>
      </c>
      <c r="L32" s="135">
        <f>Table1368[[#This Row],[Prix total Achat]]-Table1368[[#This Row],[Prix article]]</f>
        <v>3.869999999999999</v>
      </c>
      <c r="M32" s="135">
        <v>11.37</v>
      </c>
      <c r="N32" s="134">
        <v>45985</v>
      </c>
      <c r="O32" s="136">
        <f>(Table1368[[#This Row],[Prix total Achat]]*2)</f>
        <v>22.74</v>
      </c>
      <c r="P32" s="136">
        <f>Table1368[[#This Row],[Prix Min voulu (x2 )]]*1.2</f>
        <v>27.287999999999997</v>
      </c>
      <c r="Q32" s="134">
        <v>45991</v>
      </c>
      <c r="R32" s="134">
        <v>45996</v>
      </c>
      <c r="S32" s="135">
        <v>17.6</v>
      </c>
      <c r="T32" s="134" t="s">
        <v>160</v>
      </c>
      <c r="U32" s="134" t="s">
        <v>243</v>
      </c>
      <c r="V32" s="137">
        <f>IF(ISBLANK(Table1368[[#This Row],[Date réception Achat]]),"",IF(ISBLANK(Table1368[[#This Row],[Date revente]]),TODAY(),Table1368[[#This Row],[Date revente]])-Table1368[[#This Row],[Date réception Achat]])</f>
        <v>11</v>
      </c>
      <c r="W3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" s="135">
        <f>IF(Table1368[[#This Row],[Prix de revente]]="","",Table1368[[#This Row],[Prix de revente]]-Table1368[[#This Row],[Prix total Achat]])</f>
        <v>6.230000000000002</v>
      </c>
      <c r="Y32" s="138">
        <f>IF(Table1368[[#This Row],[Prix de revente]]="","",(Table1368[[#This Row],[Prix de revente]]/Table1368[[#This Row],[Prix total Achat]]))</f>
        <v>1.5479331574318385</v>
      </c>
      <c r="Z32" s="139">
        <f>IF(ISBLANK(Table1368[[#This Row],[Date réception Achat]]),"",IF(ISBLANK(Table1368[[#This Row],[Date réception Achat]]),TODAY(),Table1368[[#This Row],[Date réception Achat]])-Table1368[[#This Row],[Date achat]])</f>
        <v>16</v>
      </c>
      <c r="AA32" s="139">
        <f>IF(ISBLANK(Table1368[[#This Row],[Date relisting]]),"",IF(ISBLANK(Table1368[[#This Row],[Date relisting]]),TODAY(),Table1368[[#This Row],[Date relisting]])-Table1368[[#This Row],[Date réception Achat]])</f>
        <v>6</v>
      </c>
      <c r="AB32" s="139">
        <f>IF(ISBLANK(Table1368[[#This Row],[Date revente]]),"",IF(ISBLANK(Table1368[[#This Row],[Date revente]]),TODAY(),Table1368[[#This Row],[Date revente]])-Table1368[[#This Row],[Date relisting]])</f>
        <v>5</v>
      </c>
      <c r="AC32" s="139">
        <f>IF(ISBLANK(Table1368[[#This Row],[Date revente]]),"",IF(ISBLANK(Table1368[[#This Row],[Date revente]]),TODAY(),Table1368[[#This Row],[Date revente]])-Table1368[[#This Row],[Date réception Achat]])</f>
        <v>11</v>
      </c>
      <c r="AD32" s="139">
        <f>IF(ISBLANK(Table1368[[#This Row],[Date revente]]),"",IF(ISBLANK(Table1368[[#This Row],[Date revente]]),TODAY(),Table1368[[#This Row],[Date revente]])-Table1368[[#This Row],[Date achat]])</f>
        <v>27</v>
      </c>
    </row>
    <row r="33" spans="1:30" x14ac:dyDescent="0.25">
      <c r="A33" s="134">
        <v>45969</v>
      </c>
      <c r="B33" s="141" t="s">
        <v>168</v>
      </c>
      <c r="C33" s="134" t="s">
        <v>244</v>
      </c>
      <c r="D33" s="127" t="s">
        <v>157</v>
      </c>
      <c r="E33" s="127"/>
      <c r="F33" s="127"/>
      <c r="G33" s="134" t="s">
        <v>245</v>
      </c>
      <c r="H33" s="127" t="s">
        <v>178</v>
      </c>
      <c r="I33" s="134" t="s">
        <v>160</v>
      </c>
      <c r="J33" s="134" t="s">
        <v>157</v>
      </c>
      <c r="K33" s="135">
        <v>8</v>
      </c>
      <c r="L33" s="135">
        <f>Table1368[[#This Row],[Prix total Achat]]-Table1368[[#This Row],[Prix article]]</f>
        <v>3.8900000000000006</v>
      </c>
      <c r="M33" s="135">
        <v>11.89</v>
      </c>
      <c r="N33" s="134">
        <v>45988</v>
      </c>
      <c r="O33" s="136">
        <f>(Table1368[[#This Row],[Prix total Achat]]*2)</f>
        <v>23.78</v>
      </c>
      <c r="P33" s="136">
        <f>Table1368[[#This Row],[Prix Min voulu (x2 )]]*1.2</f>
        <v>28.536</v>
      </c>
      <c r="Q33" s="134">
        <v>45991</v>
      </c>
      <c r="R33" s="134">
        <v>46065</v>
      </c>
      <c r="S33" s="135">
        <v>12</v>
      </c>
      <c r="T33" s="134" t="s">
        <v>160</v>
      </c>
      <c r="U33" s="134" t="s">
        <v>157</v>
      </c>
      <c r="V33" s="137">
        <f>IF(ISBLANK(Table1368[[#This Row],[Date réception Achat]]),"",IF(ISBLANK(Table1368[[#This Row],[Date revente]]),TODAY(),Table1368[[#This Row],[Date revente]])-Table1368[[#This Row],[Date réception Achat]])</f>
        <v>77</v>
      </c>
      <c r="W3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3" s="135">
        <f>IF(Table1368[[#This Row],[Prix de revente]]="","",Table1368[[#This Row],[Prix de revente]]-Table1368[[#This Row],[Prix total Achat]])</f>
        <v>0.10999999999999943</v>
      </c>
      <c r="Y33" s="138">
        <f>IF(Table1368[[#This Row],[Prix de revente]]="","",(Table1368[[#This Row],[Prix de revente]]/Table1368[[#This Row],[Prix total Achat]]))</f>
        <v>1.0092514718250631</v>
      </c>
      <c r="Z33" s="139">
        <f>IF(ISBLANK(Table1368[[#This Row],[Date réception Achat]]),"",IF(ISBLANK(Table1368[[#This Row],[Date réception Achat]]),TODAY(),Table1368[[#This Row],[Date réception Achat]])-Table1368[[#This Row],[Date achat]])</f>
        <v>19</v>
      </c>
      <c r="AA33" s="139">
        <f>IF(ISBLANK(Table1368[[#This Row],[Date relisting]]),"",IF(ISBLANK(Table1368[[#This Row],[Date relisting]]),TODAY(),Table1368[[#This Row],[Date relisting]])-Table1368[[#This Row],[Date réception Achat]])</f>
        <v>3</v>
      </c>
      <c r="AB33" s="139">
        <f>IF(ISBLANK(Table1368[[#This Row],[Date revente]]),"",IF(ISBLANK(Table1368[[#This Row],[Date revente]]),TODAY(),Table1368[[#This Row],[Date revente]])-Table1368[[#This Row],[Date relisting]])</f>
        <v>74</v>
      </c>
      <c r="AC33" s="139">
        <f>IF(ISBLANK(Table1368[[#This Row],[Date revente]]),"",IF(ISBLANK(Table1368[[#This Row],[Date revente]]),TODAY(),Table1368[[#This Row],[Date revente]])-Table1368[[#This Row],[Date réception Achat]])</f>
        <v>77</v>
      </c>
      <c r="AD33" s="139">
        <f>IF(ISBLANK(Table1368[[#This Row],[Date revente]]),"",IF(ISBLANK(Table1368[[#This Row],[Date revente]]),TODAY(),Table1368[[#This Row],[Date revente]])-Table1368[[#This Row],[Date achat]])</f>
        <v>96</v>
      </c>
    </row>
    <row r="34" spans="1:30" x14ac:dyDescent="0.25">
      <c r="A34" s="134">
        <v>45971</v>
      </c>
      <c r="B34" s="141" t="s">
        <v>246</v>
      </c>
      <c r="C34" s="134" t="s">
        <v>247</v>
      </c>
      <c r="D34" s="127" t="s">
        <v>157</v>
      </c>
      <c r="E34" s="127"/>
      <c r="F34" s="127"/>
      <c r="G34" s="134" t="s">
        <v>209</v>
      </c>
      <c r="H34" s="127" t="s">
        <v>164</v>
      </c>
      <c r="I34" s="134" t="s">
        <v>160</v>
      </c>
      <c r="J34" s="134" t="s">
        <v>189</v>
      </c>
      <c r="K34" s="135">
        <v>5</v>
      </c>
      <c r="L34" s="135">
        <f>Table1368[[#This Row],[Prix total Achat]]-Table1368[[#This Row],[Prix article]]</f>
        <v>2.24</v>
      </c>
      <c r="M34" s="135">
        <v>7.24</v>
      </c>
      <c r="N34" s="134">
        <v>45982</v>
      </c>
      <c r="O34" s="136">
        <f>(Table1368[[#This Row],[Prix total Achat]]*2)</f>
        <v>14.48</v>
      </c>
      <c r="P34" s="136">
        <f>Table1368[[#This Row],[Prix Min voulu (x2 )]]*1.2</f>
        <v>17.376</v>
      </c>
      <c r="Q34" s="134">
        <v>45990</v>
      </c>
      <c r="R34" s="134">
        <v>46033</v>
      </c>
      <c r="S34" s="135">
        <v>9.5</v>
      </c>
      <c r="T34" s="134" t="s">
        <v>160</v>
      </c>
      <c r="U34" s="134" t="s">
        <v>248</v>
      </c>
      <c r="V34" s="137">
        <f>IF(ISBLANK(Table1368[[#This Row],[Date réception Achat]]),"",IF(ISBLANK(Table1368[[#This Row],[Date revente]]),TODAY(),Table1368[[#This Row],[Date revente]])-Table1368[[#This Row],[Date réception Achat]])</f>
        <v>51</v>
      </c>
      <c r="W3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4" s="135">
        <f>IF(Table1368[[#This Row],[Prix de revente]]="","",Table1368[[#This Row],[Prix de revente]]-Table1368[[#This Row],[Prix total Achat]])</f>
        <v>2.26</v>
      </c>
      <c r="Y34" s="138">
        <f>IF(Table1368[[#This Row],[Prix de revente]]="","",(Table1368[[#This Row],[Prix de revente]]/Table1368[[#This Row],[Prix total Achat]]))</f>
        <v>1.3121546961325967</v>
      </c>
      <c r="Z34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34" s="139">
        <f>IF(ISBLANK(Table1368[[#This Row],[Date relisting]]),"",IF(ISBLANK(Table1368[[#This Row],[Date relisting]]),TODAY(),Table1368[[#This Row],[Date relisting]])-Table1368[[#This Row],[Date réception Achat]])</f>
        <v>8</v>
      </c>
      <c r="AB34" s="139">
        <f>IF(ISBLANK(Table1368[[#This Row],[Date revente]]),"",IF(ISBLANK(Table1368[[#This Row],[Date revente]]),TODAY(),Table1368[[#This Row],[Date revente]])-Table1368[[#This Row],[Date relisting]])</f>
        <v>43</v>
      </c>
      <c r="AC34" s="139">
        <f>IF(ISBLANK(Table1368[[#This Row],[Date revente]]),"",IF(ISBLANK(Table1368[[#This Row],[Date revente]]),TODAY(),Table1368[[#This Row],[Date revente]])-Table1368[[#This Row],[Date réception Achat]])</f>
        <v>51</v>
      </c>
      <c r="AD34" s="139">
        <f>IF(ISBLANK(Table1368[[#This Row],[Date revente]]),"",IF(ISBLANK(Table1368[[#This Row],[Date revente]]),TODAY(),Table1368[[#This Row],[Date revente]])-Table1368[[#This Row],[Date achat]])</f>
        <v>62</v>
      </c>
    </row>
    <row r="35" spans="1:30" x14ac:dyDescent="0.25">
      <c r="A35" s="134">
        <v>45971</v>
      </c>
      <c r="B35" s="141" t="s">
        <v>205</v>
      </c>
      <c r="C35" s="134" t="s">
        <v>249</v>
      </c>
      <c r="D35" s="127" t="s">
        <v>157</v>
      </c>
      <c r="E35" s="127"/>
      <c r="F35" s="127"/>
      <c r="G35" s="134" t="s">
        <v>209</v>
      </c>
      <c r="H35" s="127" t="s">
        <v>164</v>
      </c>
      <c r="I35" s="134" t="s">
        <v>160</v>
      </c>
      <c r="J35" s="134" t="s">
        <v>189</v>
      </c>
      <c r="K35" s="135">
        <v>5</v>
      </c>
      <c r="L35" s="135">
        <f>Table1368[[#This Row],[Prix total Achat]]-Table1368[[#This Row],[Prix article]]</f>
        <v>2.24</v>
      </c>
      <c r="M35" s="135">
        <v>7.24</v>
      </c>
      <c r="N35" s="134">
        <v>45982</v>
      </c>
      <c r="O35" s="136">
        <f>(Table1368[[#This Row],[Prix total Achat]]*2)</f>
        <v>14.48</v>
      </c>
      <c r="P35" s="136">
        <f>Table1368[[#This Row],[Prix Min voulu (x2 )]]*1.2</f>
        <v>17.376</v>
      </c>
      <c r="Q35" s="134">
        <v>45982</v>
      </c>
      <c r="R35" s="134">
        <v>46037</v>
      </c>
      <c r="S35" s="135">
        <v>16</v>
      </c>
      <c r="T35" s="134" t="s">
        <v>160</v>
      </c>
      <c r="U35" s="134" t="s">
        <v>157</v>
      </c>
      <c r="V35" s="137">
        <f>IF(ISBLANK(Table1368[[#This Row],[Date réception Achat]]),"",IF(ISBLANK(Table1368[[#This Row],[Date revente]]),TODAY(),Table1368[[#This Row],[Date revente]])-Table1368[[#This Row],[Date réception Achat]])</f>
        <v>55</v>
      </c>
      <c r="W3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5" s="135">
        <f>IF(Table1368[[#This Row],[Prix de revente]]="","",Table1368[[#This Row],[Prix de revente]]-Table1368[[#This Row],[Prix total Achat]])</f>
        <v>8.76</v>
      </c>
      <c r="Y35" s="138">
        <f>IF(Table1368[[#This Row],[Prix de revente]]="","",(Table1368[[#This Row],[Prix de revente]]/Table1368[[#This Row],[Prix total Achat]]))</f>
        <v>2.2099447513812156</v>
      </c>
      <c r="Z35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35" s="139">
        <f>IF(ISBLANK(Table1368[[#This Row],[Date relisting]]),"",IF(ISBLANK(Table1368[[#This Row],[Date relisting]]),TODAY(),Table1368[[#This Row],[Date relisting]])-Table1368[[#This Row],[Date réception Achat]])</f>
        <v>0</v>
      </c>
      <c r="AB35" s="139">
        <f>IF(ISBLANK(Table1368[[#This Row],[Date revente]]),"",IF(ISBLANK(Table1368[[#This Row],[Date revente]]),TODAY(),Table1368[[#This Row],[Date revente]])-Table1368[[#This Row],[Date relisting]])</f>
        <v>55</v>
      </c>
      <c r="AC35" s="139">
        <f>IF(ISBLANK(Table1368[[#This Row],[Date revente]]),"",IF(ISBLANK(Table1368[[#This Row],[Date revente]]),TODAY(),Table1368[[#This Row],[Date revente]])-Table1368[[#This Row],[Date réception Achat]])</f>
        <v>55</v>
      </c>
      <c r="AD35" s="139">
        <f>IF(ISBLANK(Table1368[[#This Row],[Date revente]]),"",IF(ISBLANK(Table1368[[#This Row],[Date revente]]),TODAY(),Table1368[[#This Row],[Date revente]])-Table1368[[#This Row],[Date achat]])</f>
        <v>66</v>
      </c>
    </row>
    <row r="36" spans="1:30" x14ac:dyDescent="0.25">
      <c r="A36" s="134">
        <v>45972</v>
      </c>
      <c r="B36" s="141" t="s">
        <v>226</v>
      </c>
      <c r="C36" s="134" t="s">
        <v>250</v>
      </c>
      <c r="D36" s="127" t="s">
        <v>157</v>
      </c>
      <c r="E36" s="127"/>
      <c r="F36" s="127"/>
      <c r="G36" s="134" t="s">
        <v>228</v>
      </c>
      <c r="H36" s="127" t="s">
        <v>251</v>
      </c>
      <c r="I36" s="134" t="s">
        <v>160</v>
      </c>
      <c r="J36" s="134" t="s">
        <v>157</v>
      </c>
      <c r="K36" s="135">
        <v>8</v>
      </c>
      <c r="L36" s="135">
        <f>Table1368[[#This Row],[Prix total Achat]]-Table1368[[#This Row],[Prix article]]</f>
        <v>3.8900000000000006</v>
      </c>
      <c r="M36" s="135">
        <v>11.89</v>
      </c>
      <c r="N36" s="134">
        <v>45986</v>
      </c>
      <c r="O36" s="136">
        <f>(Table1368[[#This Row],[Prix total Achat]]*2)</f>
        <v>23.78</v>
      </c>
      <c r="P36" s="136">
        <f>Table1368[[#This Row],[Prix Min voulu (x2 )]]*1.2</f>
        <v>28.536</v>
      </c>
      <c r="Q36" s="134">
        <v>45991</v>
      </c>
      <c r="R36" s="134">
        <v>45991</v>
      </c>
      <c r="S36" s="135">
        <v>50</v>
      </c>
      <c r="T36" s="134" t="s">
        <v>160</v>
      </c>
      <c r="U36" s="134" t="s">
        <v>157</v>
      </c>
      <c r="V36" s="137">
        <f>IF(ISBLANK(Table1368[[#This Row],[Date réception Achat]]),"",IF(ISBLANK(Table1368[[#This Row],[Date revente]]),TODAY(),Table1368[[#This Row],[Date revente]])-Table1368[[#This Row],[Date réception Achat]])</f>
        <v>5</v>
      </c>
      <c r="W3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6" s="135">
        <f>IF(Table1368[[#This Row],[Prix de revente]]="","",Table1368[[#This Row],[Prix de revente]]-Table1368[[#This Row],[Prix total Achat]])</f>
        <v>38.11</v>
      </c>
      <c r="Y36" s="138">
        <f>IF(Table1368[[#This Row],[Prix de revente]]="","",(Table1368[[#This Row],[Prix de revente]]/Table1368[[#This Row],[Prix total Achat]]))</f>
        <v>4.205214465937763</v>
      </c>
      <c r="Z36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36" s="139">
        <f>IF(ISBLANK(Table1368[[#This Row],[Date relisting]]),"",IF(ISBLANK(Table1368[[#This Row],[Date relisting]]),TODAY(),Table1368[[#This Row],[Date relisting]])-Table1368[[#This Row],[Date réception Achat]])</f>
        <v>5</v>
      </c>
      <c r="AB36" s="139">
        <f>IF(ISBLANK(Table1368[[#This Row],[Date revente]]),"",IF(ISBLANK(Table1368[[#This Row],[Date revente]]),TODAY(),Table1368[[#This Row],[Date revente]])-Table1368[[#This Row],[Date relisting]])</f>
        <v>0</v>
      </c>
      <c r="AC36" s="139">
        <f>IF(ISBLANK(Table1368[[#This Row],[Date revente]]),"",IF(ISBLANK(Table1368[[#This Row],[Date revente]]),TODAY(),Table1368[[#This Row],[Date revente]])-Table1368[[#This Row],[Date réception Achat]])</f>
        <v>5</v>
      </c>
      <c r="AD36" s="139">
        <f>IF(ISBLANK(Table1368[[#This Row],[Date revente]]),"",IF(ISBLANK(Table1368[[#This Row],[Date revente]]),TODAY(),Table1368[[#This Row],[Date revente]])-Table1368[[#This Row],[Date achat]])</f>
        <v>19</v>
      </c>
    </row>
    <row r="37" spans="1:30" x14ac:dyDescent="0.25">
      <c r="A37" s="134">
        <v>45975</v>
      </c>
      <c r="B37" s="141" t="s">
        <v>252</v>
      </c>
      <c r="C37" s="134" t="s">
        <v>253</v>
      </c>
      <c r="D37" s="127" t="s">
        <v>157</v>
      </c>
      <c r="E37" s="127"/>
      <c r="F37" s="127"/>
      <c r="G37" s="134" t="s">
        <v>233</v>
      </c>
      <c r="H37" s="127" t="s">
        <v>254</v>
      </c>
      <c r="I37" s="134" t="s">
        <v>160</v>
      </c>
      <c r="J37" s="134" t="s">
        <v>157</v>
      </c>
      <c r="K37" s="135">
        <v>25</v>
      </c>
      <c r="L37" s="135">
        <f>Table1368[[#This Row],[Prix total Achat]]-Table1368[[#This Row],[Prix article]]</f>
        <v>6.34</v>
      </c>
      <c r="M37" s="135">
        <v>31.34</v>
      </c>
      <c r="N37" s="134">
        <v>45982</v>
      </c>
      <c r="O37" s="136">
        <f>(Table1368[[#This Row],[Prix total Achat]]*2)</f>
        <v>62.68</v>
      </c>
      <c r="P37" s="136">
        <f>Table1368[[#This Row],[Prix Min voulu (x2 )]]*1.2</f>
        <v>75.216</v>
      </c>
      <c r="Q37" s="134">
        <v>45982</v>
      </c>
      <c r="R37" s="134">
        <v>45994</v>
      </c>
      <c r="S37" s="135">
        <v>50</v>
      </c>
      <c r="T37" s="134" t="s">
        <v>160</v>
      </c>
      <c r="U37" s="134" t="s">
        <v>157</v>
      </c>
      <c r="V37" s="137">
        <f>IF(ISBLANK(Table1368[[#This Row],[Date réception Achat]]),"",IF(ISBLANK(Table1368[[#This Row],[Date revente]]),TODAY(),Table1368[[#This Row],[Date revente]])-Table1368[[#This Row],[Date réception Achat]])</f>
        <v>12</v>
      </c>
      <c r="W3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7" s="135">
        <f>IF(Table1368[[#This Row],[Prix de revente]]="","",Table1368[[#This Row],[Prix de revente]]-Table1368[[#This Row],[Prix total Achat]])</f>
        <v>18.66</v>
      </c>
      <c r="Y37" s="138">
        <f>IF(Table1368[[#This Row],[Prix de revente]]="","",(Table1368[[#This Row],[Prix de revente]]/Table1368[[#This Row],[Prix total Achat]]))</f>
        <v>1.595405232929164</v>
      </c>
      <c r="Z37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7" s="139">
        <f>IF(ISBLANK(Table1368[[#This Row],[Date relisting]]),"",IF(ISBLANK(Table1368[[#This Row],[Date relisting]]),TODAY(),Table1368[[#This Row],[Date relisting]])-Table1368[[#This Row],[Date réception Achat]])</f>
        <v>0</v>
      </c>
      <c r="AB37" s="139">
        <f>IF(ISBLANK(Table1368[[#This Row],[Date revente]]),"",IF(ISBLANK(Table1368[[#This Row],[Date revente]]),TODAY(),Table1368[[#This Row],[Date revente]])-Table1368[[#This Row],[Date relisting]])</f>
        <v>12</v>
      </c>
      <c r="AC37" s="139">
        <f>IF(ISBLANK(Table1368[[#This Row],[Date revente]]),"",IF(ISBLANK(Table1368[[#This Row],[Date revente]]),TODAY(),Table1368[[#This Row],[Date revente]])-Table1368[[#This Row],[Date réception Achat]])</f>
        <v>12</v>
      </c>
      <c r="AD37" s="139">
        <f>IF(ISBLANK(Table1368[[#This Row],[Date revente]]),"",IF(ISBLANK(Table1368[[#This Row],[Date revente]]),TODAY(),Table1368[[#This Row],[Date revente]])-Table1368[[#This Row],[Date achat]])</f>
        <v>19</v>
      </c>
    </row>
    <row r="38" spans="1:30" x14ac:dyDescent="0.25">
      <c r="A38" s="134">
        <v>45975</v>
      </c>
      <c r="B38" s="141" t="s">
        <v>226</v>
      </c>
      <c r="C38" s="134" t="s">
        <v>255</v>
      </c>
      <c r="D38" s="127" t="s">
        <v>157</v>
      </c>
      <c r="E38" s="127"/>
      <c r="F38" s="127"/>
      <c r="G38" s="134" t="s">
        <v>228</v>
      </c>
      <c r="H38" s="127" t="s">
        <v>256</v>
      </c>
      <c r="I38" s="134" t="s">
        <v>160</v>
      </c>
      <c r="J38" s="134" t="s">
        <v>157</v>
      </c>
      <c r="K38" s="135">
        <v>8</v>
      </c>
      <c r="L38" s="135">
        <f>Table1368[[#This Row],[Prix total Achat]]-Table1368[[#This Row],[Prix article]]</f>
        <v>4.1899999999999995</v>
      </c>
      <c r="M38" s="135">
        <v>12.19</v>
      </c>
      <c r="N38" s="134">
        <v>45986</v>
      </c>
      <c r="O38" s="136">
        <f>(Table1368[[#This Row],[Prix total Achat]]*2)</f>
        <v>24.38</v>
      </c>
      <c r="P38" s="136">
        <f>Table1368[[#This Row],[Prix Min voulu (x2 )]]*1.2</f>
        <v>29.255999999999997</v>
      </c>
      <c r="Q38" s="134">
        <v>45991</v>
      </c>
      <c r="R38" s="134">
        <v>45995</v>
      </c>
      <c r="S38" s="135">
        <v>31</v>
      </c>
      <c r="T38" s="134" t="s">
        <v>160</v>
      </c>
      <c r="U38" s="134" t="s">
        <v>157</v>
      </c>
      <c r="V38" s="137">
        <f>IF(ISBLANK(Table1368[[#This Row],[Date réception Achat]]),"",IF(ISBLANK(Table1368[[#This Row],[Date revente]]),TODAY(),Table1368[[#This Row],[Date revente]])-Table1368[[#This Row],[Date réception Achat]])</f>
        <v>9</v>
      </c>
      <c r="W3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8" s="135">
        <f>IF(Table1368[[#This Row],[Prix de revente]]="","",Table1368[[#This Row],[Prix de revente]]-Table1368[[#This Row],[Prix total Achat]])</f>
        <v>18.810000000000002</v>
      </c>
      <c r="Y38" s="138">
        <f>IF(Table1368[[#This Row],[Prix de revente]]="","",(Table1368[[#This Row],[Prix de revente]]/Table1368[[#This Row],[Prix total Achat]]))</f>
        <v>2.543068088597211</v>
      </c>
      <c r="Z38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38" s="139">
        <f>IF(ISBLANK(Table1368[[#This Row],[Date relisting]]),"",IF(ISBLANK(Table1368[[#This Row],[Date relisting]]),TODAY(),Table1368[[#This Row],[Date relisting]])-Table1368[[#This Row],[Date réception Achat]])</f>
        <v>5</v>
      </c>
      <c r="AB38" s="139">
        <f>IF(ISBLANK(Table1368[[#This Row],[Date revente]]),"",IF(ISBLANK(Table1368[[#This Row],[Date revente]]),TODAY(),Table1368[[#This Row],[Date revente]])-Table1368[[#This Row],[Date relisting]])</f>
        <v>4</v>
      </c>
      <c r="AC38" s="139">
        <f>IF(ISBLANK(Table1368[[#This Row],[Date revente]]),"",IF(ISBLANK(Table1368[[#This Row],[Date revente]]),TODAY(),Table1368[[#This Row],[Date revente]])-Table1368[[#This Row],[Date réception Achat]])</f>
        <v>9</v>
      </c>
      <c r="AD38" s="139">
        <f>IF(ISBLANK(Table1368[[#This Row],[Date revente]]),"",IF(ISBLANK(Table1368[[#This Row],[Date revente]]),TODAY(),Table1368[[#This Row],[Date revente]])-Table1368[[#This Row],[Date achat]])</f>
        <v>20</v>
      </c>
    </row>
    <row r="39" spans="1:30" x14ac:dyDescent="0.25">
      <c r="A39" s="134">
        <v>45976</v>
      </c>
      <c r="B39" s="141" t="s">
        <v>257</v>
      </c>
      <c r="C39" s="134" t="s">
        <v>258</v>
      </c>
      <c r="D39" s="127" t="s">
        <v>157</v>
      </c>
      <c r="E39" s="127"/>
      <c r="F39" s="127"/>
      <c r="G39" s="134" t="s">
        <v>259</v>
      </c>
      <c r="H39" s="127" t="s">
        <v>178</v>
      </c>
      <c r="I39" s="134" t="s">
        <v>160</v>
      </c>
      <c r="J39" s="134" t="s">
        <v>189</v>
      </c>
      <c r="K39" s="135">
        <v>6</v>
      </c>
      <c r="L39" s="135">
        <v>2.85</v>
      </c>
      <c r="M39" s="135">
        <f>SUM(Table1368[[#This Row],[Prix article]:[Frais plateforme + envoi]])</f>
        <v>8.85</v>
      </c>
      <c r="N39" s="134">
        <v>45985</v>
      </c>
      <c r="O39" s="136">
        <f>(Table1368[[#This Row],[Prix total Achat]]*2)</f>
        <v>17.7</v>
      </c>
      <c r="P39" s="136">
        <f>Table1368[[#This Row],[Prix Min voulu (x2 )]]*1.2</f>
        <v>21.24</v>
      </c>
      <c r="Q39" s="134">
        <v>45991</v>
      </c>
      <c r="R39" s="134">
        <v>45996</v>
      </c>
      <c r="S39" s="135">
        <v>20</v>
      </c>
      <c r="T39" s="134" t="s">
        <v>160</v>
      </c>
      <c r="U39" s="134" t="s">
        <v>157</v>
      </c>
      <c r="V39" s="137">
        <f>IF(ISBLANK(Table1368[[#This Row],[Date réception Achat]]),"",IF(ISBLANK(Table1368[[#This Row],[Date revente]]),TODAY(),Table1368[[#This Row],[Date revente]])-Table1368[[#This Row],[Date réception Achat]])</f>
        <v>11</v>
      </c>
      <c r="W3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9" s="135">
        <f>IF(Table1368[[#This Row],[Prix de revente]]="","",Table1368[[#This Row],[Prix de revente]]-Table1368[[#This Row],[Prix total Achat]])</f>
        <v>11.15</v>
      </c>
      <c r="Y39" s="138">
        <f>IF(Table1368[[#This Row],[Prix de revente]]="","",(Table1368[[#This Row],[Prix de revente]]/Table1368[[#This Row],[Prix total Achat]]))</f>
        <v>2.2598870056497176</v>
      </c>
      <c r="Z39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39" s="139">
        <f>IF(ISBLANK(Table1368[[#This Row],[Date relisting]]),"",IF(ISBLANK(Table1368[[#This Row],[Date relisting]]),TODAY(),Table1368[[#This Row],[Date relisting]])-Table1368[[#This Row],[Date réception Achat]])</f>
        <v>6</v>
      </c>
      <c r="AB39" s="139">
        <f>IF(ISBLANK(Table1368[[#This Row],[Date revente]]),"",IF(ISBLANK(Table1368[[#This Row],[Date revente]]),TODAY(),Table1368[[#This Row],[Date revente]])-Table1368[[#This Row],[Date relisting]])</f>
        <v>5</v>
      </c>
      <c r="AC39" s="139">
        <f>IF(ISBLANK(Table1368[[#This Row],[Date revente]]),"",IF(ISBLANK(Table1368[[#This Row],[Date revente]]),TODAY(),Table1368[[#This Row],[Date revente]])-Table1368[[#This Row],[Date réception Achat]])</f>
        <v>11</v>
      </c>
      <c r="AD39" s="139">
        <f>IF(ISBLANK(Table1368[[#This Row],[Date revente]]),"",IF(ISBLANK(Table1368[[#This Row],[Date revente]]),TODAY(),Table1368[[#This Row],[Date revente]])-Table1368[[#This Row],[Date achat]])</f>
        <v>20</v>
      </c>
    </row>
    <row r="40" spans="1:30" x14ac:dyDescent="0.25">
      <c r="A40" s="134">
        <v>45976</v>
      </c>
      <c r="B40" s="141" t="s">
        <v>207</v>
      </c>
      <c r="C40" s="134" t="s">
        <v>260</v>
      </c>
      <c r="D40" s="127" t="s">
        <v>157</v>
      </c>
      <c r="E40" s="127"/>
      <c r="F40" s="127"/>
      <c r="G40" s="134" t="s">
        <v>259</v>
      </c>
      <c r="H40" s="127" t="s">
        <v>178</v>
      </c>
      <c r="I40" s="134" t="s">
        <v>160</v>
      </c>
      <c r="J40" s="134" t="s">
        <v>261</v>
      </c>
      <c r="K40" s="135">
        <v>6.66</v>
      </c>
      <c r="L40" s="135">
        <v>1.49</v>
      </c>
      <c r="M40" s="135">
        <f>SUM(Table1368[[#This Row],[Prix article]:[Frais plateforme + envoi]])</f>
        <v>8.15</v>
      </c>
      <c r="N40" s="134">
        <v>45982</v>
      </c>
      <c r="O40" s="136">
        <f>(Table1368[[#This Row],[Prix total Achat]]*2)</f>
        <v>16.3</v>
      </c>
      <c r="P40" s="136">
        <f>Table1368[[#This Row],[Prix Min voulu (x2 )]]*1.2</f>
        <v>19.56</v>
      </c>
      <c r="Q40" s="134">
        <v>45982</v>
      </c>
      <c r="R40" s="134">
        <v>45998</v>
      </c>
      <c r="S40" s="135">
        <v>20</v>
      </c>
      <c r="T40" s="134" t="s">
        <v>160</v>
      </c>
      <c r="U40" s="134" t="s">
        <v>157</v>
      </c>
      <c r="V40" s="137">
        <f>IF(ISBLANK(Table1368[[#This Row],[Date réception Achat]]),"",IF(ISBLANK(Table1368[[#This Row],[Date revente]]),TODAY(),Table1368[[#This Row],[Date revente]])-Table1368[[#This Row],[Date réception Achat]])</f>
        <v>16</v>
      </c>
      <c r="W4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0" s="135">
        <f>IF(Table1368[[#This Row],[Prix de revente]]="","",Table1368[[#This Row],[Prix de revente]]-Table1368[[#This Row],[Prix total Achat]])</f>
        <v>11.85</v>
      </c>
      <c r="Y40" s="138">
        <f>IF(Table1368[[#This Row],[Prix de revente]]="","",(Table1368[[#This Row],[Prix de revente]]/Table1368[[#This Row],[Prix total Achat]]))</f>
        <v>2.4539877300613497</v>
      </c>
      <c r="Z40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40" s="139">
        <f>IF(ISBLANK(Table1368[[#This Row],[Date relisting]]),"",IF(ISBLANK(Table1368[[#This Row],[Date relisting]]),TODAY(),Table1368[[#This Row],[Date relisting]])-Table1368[[#This Row],[Date réception Achat]])</f>
        <v>0</v>
      </c>
      <c r="AB40" s="139">
        <f>IF(ISBLANK(Table1368[[#This Row],[Date revente]]),"",IF(ISBLANK(Table1368[[#This Row],[Date revente]]),TODAY(),Table1368[[#This Row],[Date revente]])-Table1368[[#This Row],[Date relisting]])</f>
        <v>16</v>
      </c>
      <c r="AC40" s="139">
        <f>IF(ISBLANK(Table1368[[#This Row],[Date revente]]),"",IF(ISBLANK(Table1368[[#This Row],[Date revente]]),TODAY(),Table1368[[#This Row],[Date revente]])-Table1368[[#This Row],[Date réception Achat]])</f>
        <v>16</v>
      </c>
      <c r="AD40" s="139">
        <f>IF(ISBLANK(Table1368[[#This Row],[Date revente]]),"",IF(ISBLANK(Table1368[[#This Row],[Date revente]]),TODAY(),Table1368[[#This Row],[Date revente]])-Table1368[[#This Row],[Date achat]])</f>
        <v>22</v>
      </c>
    </row>
    <row r="41" spans="1:30" x14ac:dyDescent="0.25">
      <c r="A41" s="134">
        <v>45976</v>
      </c>
      <c r="B41" s="141" t="s">
        <v>207</v>
      </c>
      <c r="C41" s="134" t="s">
        <v>262</v>
      </c>
      <c r="D41" s="127" t="s">
        <v>157</v>
      </c>
      <c r="E41" s="127"/>
      <c r="F41" s="127"/>
      <c r="G41" s="134" t="s">
        <v>259</v>
      </c>
      <c r="H41" s="127" t="s">
        <v>178</v>
      </c>
      <c r="I41" s="134" t="s">
        <v>160</v>
      </c>
      <c r="J41" s="134" t="s">
        <v>189</v>
      </c>
      <c r="K41" s="135">
        <v>6</v>
      </c>
      <c r="L41" s="135">
        <v>2.85</v>
      </c>
      <c r="M41" s="135">
        <f>SUM(Table1368[[#This Row],[Prix article]:[Frais plateforme + envoi]])</f>
        <v>8.85</v>
      </c>
      <c r="N41" s="134">
        <v>45985</v>
      </c>
      <c r="O41" s="136">
        <f>(Table1368[[#This Row],[Prix total Achat]]*2)</f>
        <v>17.7</v>
      </c>
      <c r="P41" s="136">
        <f>Table1368[[#This Row],[Prix Min voulu (x2 )]]*1.2</f>
        <v>21.24</v>
      </c>
      <c r="Q41" s="134">
        <v>45991</v>
      </c>
      <c r="R41" s="134">
        <v>46009</v>
      </c>
      <c r="S41" s="135">
        <v>17.5</v>
      </c>
      <c r="T41" s="134" t="s">
        <v>160</v>
      </c>
      <c r="U41" s="134" t="s">
        <v>157</v>
      </c>
      <c r="V41" s="137">
        <f>IF(ISBLANK(Table1368[[#This Row],[Date réception Achat]]),"",IF(ISBLANK(Table1368[[#This Row],[Date revente]]),TODAY(),Table1368[[#This Row],[Date revente]])-Table1368[[#This Row],[Date réception Achat]])</f>
        <v>24</v>
      </c>
      <c r="W4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1" s="135">
        <f>IF(Table1368[[#This Row],[Prix de revente]]="","",Table1368[[#This Row],[Prix de revente]]-Table1368[[#This Row],[Prix total Achat]])</f>
        <v>8.65</v>
      </c>
      <c r="Y41" s="138">
        <f>IF(Table1368[[#This Row],[Prix de revente]]="","",(Table1368[[#This Row],[Prix de revente]]/Table1368[[#This Row],[Prix total Achat]]))</f>
        <v>1.9774011299435028</v>
      </c>
      <c r="Z41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41" s="139">
        <f>IF(ISBLANK(Table1368[[#This Row],[Date relisting]]),"",IF(ISBLANK(Table1368[[#This Row],[Date relisting]]),TODAY(),Table1368[[#This Row],[Date relisting]])-Table1368[[#This Row],[Date réception Achat]])</f>
        <v>6</v>
      </c>
      <c r="AB41" s="139">
        <f>IF(ISBLANK(Table1368[[#This Row],[Date revente]]),"",IF(ISBLANK(Table1368[[#This Row],[Date revente]]),TODAY(),Table1368[[#This Row],[Date revente]])-Table1368[[#This Row],[Date relisting]])</f>
        <v>18</v>
      </c>
      <c r="AC41" s="139">
        <f>IF(ISBLANK(Table1368[[#This Row],[Date revente]]),"",IF(ISBLANK(Table1368[[#This Row],[Date revente]]),TODAY(),Table1368[[#This Row],[Date revente]])-Table1368[[#This Row],[Date réception Achat]])</f>
        <v>24</v>
      </c>
      <c r="AD41" s="139">
        <f>IF(ISBLANK(Table1368[[#This Row],[Date revente]]),"",IF(ISBLANK(Table1368[[#This Row],[Date revente]]),TODAY(),Table1368[[#This Row],[Date revente]])-Table1368[[#This Row],[Date achat]])</f>
        <v>33</v>
      </c>
    </row>
    <row r="42" spans="1:30" x14ac:dyDescent="0.25">
      <c r="A42" s="134">
        <v>45976</v>
      </c>
      <c r="B42" s="141" t="s">
        <v>207</v>
      </c>
      <c r="C42" s="134" t="s">
        <v>263</v>
      </c>
      <c r="D42" s="127" t="s">
        <v>157</v>
      </c>
      <c r="E42" s="127"/>
      <c r="F42" s="127"/>
      <c r="G42" s="134" t="s">
        <v>259</v>
      </c>
      <c r="H42" s="127" t="s">
        <v>178</v>
      </c>
      <c r="I42" s="134" t="s">
        <v>160</v>
      </c>
      <c r="J42" s="134" t="s">
        <v>261</v>
      </c>
      <c r="K42" s="135">
        <v>6.66</v>
      </c>
      <c r="L42" s="135">
        <v>1.49</v>
      </c>
      <c r="M42" s="135">
        <f>SUM(Table1368[[#This Row],[Prix article]:[Frais plateforme + envoi]])</f>
        <v>8.15</v>
      </c>
      <c r="N42" s="134">
        <v>45982</v>
      </c>
      <c r="O42" s="136">
        <f>(Table1368[[#This Row],[Prix total Achat]]*2)</f>
        <v>16.3</v>
      </c>
      <c r="P42" s="136">
        <f>Table1368[[#This Row],[Prix Min voulu (x2 )]]*1.2</f>
        <v>19.56</v>
      </c>
      <c r="Q42" s="134">
        <v>45982</v>
      </c>
      <c r="R42" s="134">
        <v>46016</v>
      </c>
      <c r="S42" s="135">
        <v>20</v>
      </c>
      <c r="T42" s="134" t="s">
        <v>160</v>
      </c>
      <c r="U42" s="134" t="s">
        <v>157</v>
      </c>
      <c r="V42" s="137">
        <f>IF(ISBLANK(Table1368[[#This Row],[Date réception Achat]]),"",IF(ISBLANK(Table1368[[#This Row],[Date revente]]),TODAY(),Table1368[[#This Row],[Date revente]])-Table1368[[#This Row],[Date réception Achat]])</f>
        <v>34</v>
      </c>
      <c r="W4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2" s="135">
        <f>IF(Table1368[[#This Row],[Prix de revente]]="","",Table1368[[#This Row],[Prix de revente]]-Table1368[[#This Row],[Prix total Achat]])</f>
        <v>11.85</v>
      </c>
      <c r="Y42" s="138">
        <f>IF(Table1368[[#This Row],[Prix de revente]]="","",(Table1368[[#This Row],[Prix de revente]]/Table1368[[#This Row],[Prix total Achat]]))</f>
        <v>2.4539877300613497</v>
      </c>
      <c r="Z42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42" s="139">
        <f>IF(ISBLANK(Table1368[[#This Row],[Date relisting]]),"",IF(ISBLANK(Table1368[[#This Row],[Date relisting]]),TODAY(),Table1368[[#This Row],[Date relisting]])-Table1368[[#This Row],[Date réception Achat]])</f>
        <v>0</v>
      </c>
      <c r="AB42" s="139">
        <f>IF(ISBLANK(Table1368[[#This Row],[Date revente]]),"",IF(ISBLANK(Table1368[[#This Row],[Date revente]]),TODAY(),Table1368[[#This Row],[Date revente]])-Table1368[[#This Row],[Date relisting]])</f>
        <v>34</v>
      </c>
      <c r="AC42" s="139">
        <f>IF(ISBLANK(Table1368[[#This Row],[Date revente]]),"",IF(ISBLANK(Table1368[[#This Row],[Date revente]]),TODAY(),Table1368[[#This Row],[Date revente]])-Table1368[[#This Row],[Date réception Achat]])</f>
        <v>34</v>
      </c>
      <c r="AD42" s="139">
        <f>IF(ISBLANK(Table1368[[#This Row],[Date revente]]),"",IF(ISBLANK(Table1368[[#This Row],[Date revente]]),TODAY(),Table1368[[#This Row],[Date revente]])-Table1368[[#This Row],[Date achat]])</f>
        <v>40</v>
      </c>
    </row>
    <row r="43" spans="1:30" x14ac:dyDescent="0.25">
      <c r="A43" s="134">
        <v>45976</v>
      </c>
      <c r="B43" s="141" t="s">
        <v>207</v>
      </c>
      <c r="C43" s="134" t="s">
        <v>264</v>
      </c>
      <c r="D43" s="127" t="s">
        <v>157</v>
      </c>
      <c r="E43" s="127"/>
      <c r="F43" s="127"/>
      <c r="G43" s="134" t="s">
        <v>259</v>
      </c>
      <c r="H43" s="127" t="s">
        <v>178</v>
      </c>
      <c r="I43" s="134" t="s">
        <v>160</v>
      </c>
      <c r="J43" s="134" t="s">
        <v>261</v>
      </c>
      <c r="K43" s="135">
        <v>6.66</v>
      </c>
      <c r="L43" s="135">
        <v>1.49</v>
      </c>
      <c r="M43" s="135">
        <f>SUM(Table1368[[#This Row],[Prix article]:[Frais plateforme + envoi]])</f>
        <v>8.15</v>
      </c>
      <c r="N43" s="134">
        <v>45982</v>
      </c>
      <c r="O43" s="136">
        <f>(Table1368[[#This Row],[Prix total Achat]]*2)</f>
        <v>16.3</v>
      </c>
      <c r="P43" s="136">
        <f>Table1368[[#This Row],[Prix Min voulu (x2 )]]*1.2</f>
        <v>19.56</v>
      </c>
      <c r="Q43" s="134">
        <v>45982</v>
      </c>
      <c r="R43" s="134">
        <v>46016</v>
      </c>
      <c r="S43" s="135">
        <v>20</v>
      </c>
      <c r="T43" s="134" t="s">
        <v>160</v>
      </c>
      <c r="U43" s="134" t="s">
        <v>157</v>
      </c>
      <c r="V43" s="137">
        <f>IF(ISBLANK(Table1368[[#This Row],[Date réception Achat]]),"",IF(ISBLANK(Table1368[[#This Row],[Date revente]]),TODAY(),Table1368[[#This Row],[Date revente]])-Table1368[[#This Row],[Date réception Achat]])</f>
        <v>34</v>
      </c>
      <c r="W4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3" s="135">
        <f>IF(Table1368[[#This Row],[Prix de revente]]="","",Table1368[[#This Row],[Prix de revente]]-Table1368[[#This Row],[Prix total Achat]])</f>
        <v>11.85</v>
      </c>
      <c r="Y43" s="138">
        <f>IF(Table1368[[#This Row],[Prix de revente]]="","",(Table1368[[#This Row],[Prix de revente]]/Table1368[[#This Row],[Prix total Achat]]))</f>
        <v>2.4539877300613497</v>
      </c>
      <c r="Z43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43" s="139">
        <f>IF(ISBLANK(Table1368[[#This Row],[Date relisting]]),"",IF(ISBLANK(Table1368[[#This Row],[Date relisting]]),TODAY(),Table1368[[#This Row],[Date relisting]])-Table1368[[#This Row],[Date réception Achat]])</f>
        <v>0</v>
      </c>
      <c r="AB43" s="139">
        <f>IF(ISBLANK(Table1368[[#This Row],[Date revente]]),"",IF(ISBLANK(Table1368[[#This Row],[Date revente]]),TODAY(),Table1368[[#This Row],[Date revente]])-Table1368[[#This Row],[Date relisting]])</f>
        <v>34</v>
      </c>
      <c r="AC43" s="139">
        <f>IF(ISBLANK(Table1368[[#This Row],[Date revente]]),"",IF(ISBLANK(Table1368[[#This Row],[Date revente]]),TODAY(),Table1368[[#This Row],[Date revente]])-Table1368[[#This Row],[Date réception Achat]])</f>
        <v>34</v>
      </c>
      <c r="AD43" s="139">
        <f>IF(ISBLANK(Table1368[[#This Row],[Date revente]]),"",IF(ISBLANK(Table1368[[#This Row],[Date revente]]),TODAY(),Table1368[[#This Row],[Date revente]])-Table1368[[#This Row],[Date achat]])</f>
        <v>40</v>
      </c>
    </row>
    <row r="44" spans="1:30" x14ac:dyDescent="0.25">
      <c r="A44" s="134">
        <v>45977</v>
      </c>
      <c r="B44" s="141" t="s">
        <v>226</v>
      </c>
      <c r="C44" s="134" t="s">
        <v>265</v>
      </c>
      <c r="D44" s="127" t="s">
        <v>157</v>
      </c>
      <c r="E44" s="127"/>
      <c r="F44" s="127"/>
      <c r="G44" s="134" t="s">
        <v>228</v>
      </c>
      <c r="H44" s="127" t="s">
        <v>251</v>
      </c>
      <c r="I44" s="134" t="s">
        <v>160</v>
      </c>
      <c r="J44" s="134" t="s">
        <v>157</v>
      </c>
      <c r="K44" s="135">
        <v>10</v>
      </c>
      <c r="L44" s="135">
        <f>Table1368[[#This Row],[Prix total Achat]]-Table1368[[#This Row],[Prix article]]</f>
        <v>5.59</v>
      </c>
      <c r="M44" s="135">
        <v>15.59</v>
      </c>
      <c r="N44" s="134">
        <v>45982</v>
      </c>
      <c r="O44" s="136">
        <f>(Table1368[[#This Row],[Prix total Achat]]*2)</f>
        <v>31.18</v>
      </c>
      <c r="P44" s="136">
        <f>Table1368[[#This Row],[Prix Min voulu (x2 )]]*1.2</f>
        <v>37.416</v>
      </c>
      <c r="Q44" s="134">
        <v>45982</v>
      </c>
      <c r="R44" s="134">
        <v>45983</v>
      </c>
      <c r="S44" s="135">
        <v>60</v>
      </c>
      <c r="T44" s="134" t="s">
        <v>160</v>
      </c>
      <c r="U44" s="134" t="s">
        <v>157</v>
      </c>
      <c r="V44" s="137">
        <f>IF(ISBLANK(Table1368[[#This Row],[Date réception Achat]]),"",IF(ISBLANK(Table1368[[#This Row],[Date revente]]),TODAY(),Table1368[[#This Row],[Date revente]])-Table1368[[#This Row],[Date réception Achat]])</f>
        <v>1</v>
      </c>
      <c r="W4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4" s="135">
        <f>IF(Table1368[[#This Row],[Prix de revente]]="","",Table1368[[#This Row],[Prix de revente]]-Table1368[[#This Row],[Prix total Achat]])</f>
        <v>44.41</v>
      </c>
      <c r="Y44" s="138">
        <f>IF(Table1368[[#This Row],[Prix de revente]]="","",(Table1368[[#This Row],[Prix de revente]]/Table1368[[#This Row],[Prix total Achat]]))</f>
        <v>3.8486209108402822</v>
      </c>
      <c r="Z44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44" s="139">
        <f>IF(ISBLANK(Table1368[[#This Row],[Date relisting]]),"",IF(ISBLANK(Table1368[[#This Row],[Date relisting]]),TODAY(),Table1368[[#This Row],[Date relisting]])-Table1368[[#This Row],[Date réception Achat]])</f>
        <v>0</v>
      </c>
      <c r="AB44" s="139">
        <f>IF(ISBLANK(Table1368[[#This Row],[Date revente]]),"",IF(ISBLANK(Table1368[[#This Row],[Date revente]]),TODAY(),Table1368[[#This Row],[Date revente]])-Table1368[[#This Row],[Date relisting]])</f>
        <v>1</v>
      </c>
      <c r="AC44" s="139">
        <f>IF(ISBLANK(Table1368[[#This Row],[Date revente]]),"",IF(ISBLANK(Table1368[[#This Row],[Date revente]]),TODAY(),Table1368[[#This Row],[Date revente]])-Table1368[[#This Row],[Date réception Achat]])</f>
        <v>1</v>
      </c>
      <c r="AD44" s="139">
        <f>IF(ISBLANK(Table1368[[#This Row],[Date revente]]),"",IF(ISBLANK(Table1368[[#This Row],[Date revente]]),TODAY(),Table1368[[#This Row],[Date revente]])-Table1368[[#This Row],[Date achat]])</f>
        <v>6</v>
      </c>
    </row>
    <row r="45" spans="1:30" x14ac:dyDescent="0.25">
      <c r="A45" s="134">
        <v>45977</v>
      </c>
      <c r="B45" s="141" t="s">
        <v>266</v>
      </c>
      <c r="C45" s="134" t="s">
        <v>267</v>
      </c>
      <c r="D45" s="127" t="s">
        <v>157</v>
      </c>
      <c r="E45" s="127"/>
      <c r="F45" s="127"/>
      <c r="G45" s="134" t="s">
        <v>268</v>
      </c>
      <c r="H45" s="127" t="s">
        <v>241</v>
      </c>
      <c r="I45" s="134" t="s">
        <v>160</v>
      </c>
      <c r="J45" s="134" t="s">
        <v>157</v>
      </c>
      <c r="K45" s="135">
        <v>15</v>
      </c>
      <c r="L45" s="135">
        <f>Table1368[[#This Row],[Prix total Achat]]-Table1368[[#This Row],[Prix article]]</f>
        <v>1.4499999999999993</v>
      </c>
      <c r="M45" s="135">
        <v>16.45</v>
      </c>
      <c r="N45" s="134">
        <v>45982</v>
      </c>
      <c r="O45" s="136">
        <f>(Table1368[[#This Row],[Prix total Achat]]*2)</f>
        <v>32.9</v>
      </c>
      <c r="P45" s="136">
        <f>Table1368[[#This Row],[Prix Min voulu (x2 )]]*1.2</f>
        <v>39.48</v>
      </c>
      <c r="Q45" s="134">
        <v>45982</v>
      </c>
      <c r="R45" s="134">
        <v>46044</v>
      </c>
      <c r="S45" s="135">
        <v>36</v>
      </c>
      <c r="T45" s="134" t="s">
        <v>160</v>
      </c>
      <c r="U45" s="134" t="s">
        <v>157</v>
      </c>
      <c r="V45" s="137">
        <f>IF(ISBLANK(Table1368[[#This Row],[Date réception Achat]]),"",IF(ISBLANK(Table1368[[#This Row],[Date revente]]),TODAY(),Table1368[[#This Row],[Date revente]])-Table1368[[#This Row],[Date réception Achat]])</f>
        <v>62</v>
      </c>
      <c r="W4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5" s="135">
        <f>IF(Table1368[[#This Row],[Prix de revente]]="","",Table1368[[#This Row],[Prix de revente]]-Table1368[[#This Row],[Prix total Achat]])</f>
        <v>19.55</v>
      </c>
      <c r="Y45" s="138">
        <f>IF(Table1368[[#This Row],[Prix de revente]]="","",(Table1368[[#This Row],[Prix de revente]]/Table1368[[#This Row],[Prix total Achat]]))</f>
        <v>2.1884498480243164</v>
      </c>
      <c r="Z45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45" s="139">
        <f>IF(ISBLANK(Table1368[[#This Row],[Date relisting]]),"",IF(ISBLANK(Table1368[[#This Row],[Date relisting]]),TODAY(),Table1368[[#This Row],[Date relisting]])-Table1368[[#This Row],[Date réception Achat]])</f>
        <v>0</v>
      </c>
      <c r="AB45" s="139">
        <f>IF(ISBLANK(Table1368[[#This Row],[Date revente]]),"",IF(ISBLANK(Table1368[[#This Row],[Date revente]]),TODAY(),Table1368[[#This Row],[Date revente]])-Table1368[[#This Row],[Date relisting]])</f>
        <v>62</v>
      </c>
      <c r="AC45" s="139">
        <f>IF(ISBLANK(Table1368[[#This Row],[Date revente]]),"",IF(ISBLANK(Table1368[[#This Row],[Date revente]]),TODAY(),Table1368[[#This Row],[Date revente]])-Table1368[[#This Row],[Date réception Achat]])</f>
        <v>62</v>
      </c>
      <c r="AD45" s="139">
        <f>IF(ISBLANK(Table1368[[#This Row],[Date revente]]),"",IF(ISBLANK(Table1368[[#This Row],[Date revente]]),TODAY(),Table1368[[#This Row],[Date revente]])-Table1368[[#This Row],[Date achat]])</f>
        <v>67</v>
      </c>
    </row>
    <row r="46" spans="1:30" x14ac:dyDescent="0.25">
      <c r="A46" s="134">
        <v>45978</v>
      </c>
      <c r="B46" s="141" t="s">
        <v>269</v>
      </c>
      <c r="C46" s="134" t="s">
        <v>270</v>
      </c>
      <c r="D46" s="127" t="s">
        <v>157</v>
      </c>
      <c r="E46" s="127"/>
      <c r="F46" s="127"/>
      <c r="G46" s="134" t="s">
        <v>271</v>
      </c>
      <c r="H46" s="127" t="s">
        <v>272</v>
      </c>
      <c r="I46" s="134" t="s">
        <v>160</v>
      </c>
      <c r="J46" s="134" t="s">
        <v>157</v>
      </c>
      <c r="K46" s="135">
        <v>10</v>
      </c>
      <c r="L46" s="135">
        <f>Table1368[[#This Row],[Prix total Achat]]-Table1368[[#This Row],[Prix article]]</f>
        <v>4.48</v>
      </c>
      <c r="M46" s="135">
        <v>14.48</v>
      </c>
      <c r="N46" s="134">
        <v>45982</v>
      </c>
      <c r="O46" s="136">
        <f>(Table1368[[#This Row],[Prix total Achat]]*2)</f>
        <v>28.96</v>
      </c>
      <c r="P46" s="136">
        <f>Table1368[[#This Row],[Prix Min voulu (x2 )]]*1.2</f>
        <v>34.752</v>
      </c>
      <c r="Q46" s="134">
        <v>45982</v>
      </c>
      <c r="R46" s="134">
        <v>45983</v>
      </c>
      <c r="S46" s="135">
        <v>35</v>
      </c>
      <c r="T46" s="134" t="s">
        <v>160</v>
      </c>
      <c r="U46" s="134" t="s">
        <v>157</v>
      </c>
      <c r="V46" s="137">
        <f>IF(ISBLANK(Table1368[[#This Row],[Date réception Achat]]),"",IF(ISBLANK(Table1368[[#This Row],[Date revente]]),TODAY(),Table1368[[#This Row],[Date revente]])-Table1368[[#This Row],[Date réception Achat]])</f>
        <v>1</v>
      </c>
      <c r="W4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6" s="135">
        <f>IF(Table1368[[#This Row],[Prix de revente]]="","",Table1368[[#This Row],[Prix de revente]]-Table1368[[#This Row],[Prix total Achat]])</f>
        <v>20.52</v>
      </c>
      <c r="Y46" s="138">
        <f>IF(Table1368[[#This Row],[Prix de revente]]="","",(Table1368[[#This Row],[Prix de revente]]/Table1368[[#This Row],[Prix total Achat]]))</f>
        <v>2.4171270718232045</v>
      </c>
      <c r="Z46" s="139">
        <f>IF(ISBLANK(Table1368[[#This Row],[Date réception Achat]]),"",IF(ISBLANK(Table1368[[#This Row],[Date réception Achat]]),TODAY(),Table1368[[#This Row],[Date réception Achat]])-Table1368[[#This Row],[Date achat]])</f>
        <v>4</v>
      </c>
      <c r="AA46" s="139">
        <f>IF(ISBLANK(Table1368[[#This Row],[Date relisting]]),"",IF(ISBLANK(Table1368[[#This Row],[Date relisting]]),TODAY(),Table1368[[#This Row],[Date relisting]])-Table1368[[#This Row],[Date réception Achat]])</f>
        <v>0</v>
      </c>
      <c r="AB46" s="139">
        <f>IF(ISBLANK(Table1368[[#This Row],[Date revente]]),"",IF(ISBLANK(Table1368[[#This Row],[Date revente]]),TODAY(),Table1368[[#This Row],[Date revente]])-Table1368[[#This Row],[Date relisting]])</f>
        <v>1</v>
      </c>
      <c r="AC46" s="139">
        <f>IF(ISBLANK(Table1368[[#This Row],[Date revente]]),"",IF(ISBLANK(Table1368[[#This Row],[Date revente]]),TODAY(),Table1368[[#This Row],[Date revente]])-Table1368[[#This Row],[Date réception Achat]])</f>
        <v>1</v>
      </c>
      <c r="AD46" s="139">
        <f>IF(ISBLANK(Table1368[[#This Row],[Date revente]]),"",IF(ISBLANK(Table1368[[#This Row],[Date revente]]),TODAY(),Table1368[[#This Row],[Date revente]])-Table1368[[#This Row],[Date achat]])</f>
        <v>5</v>
      </c>
    </row>
    <row r="47" spans="1:30" x14ac:dyDescent="0.25">
      <c r="A47" s="134">
        <v>45979</v>
      </c>
      <c r="B47" s="141" t="s">
        <v>273</v>
      </c>
      <c r="C47" s="134" t="s">
        <v>274</v>
      </c>
      <c r="D47" s="127" t="s">
        <v>157</v>
      </c>
      <c r="E47" s="127"/>
      <c r="F47" s="127"/>
      <c r="G47" s="134" t="s">
        <v>275</v>
      </c>
      <c r="H47" s="127" t="s">
        <v>164</v>
      </c>
      <c r="I47" s="134" t="s">
        <v>160</v>
      </c>
      <c r="J47" s="134" t="s">
        <v>157</v>
      </c>
      <c r="K47" s="135">
        <v>3.5</v>
      </c>
      <c r="L47" s="135">
        <f>Table1368[[#This Row],[Prix total Achat]]-Table1368[[#This Row],[Prix article]]</f>
        <v>8.37</v>
      </c>
      <c r="M47" s="135">
        <v>11.87</v>
      </c>
      <c r="N47" s="134">
        <v>45988</v>
      </c>
      <c r="O47" s="136">
        <f>(Table1368[[#This Row],[Prix total Achat]]*2)</f>
        <v>23.74</v>
      </c>
      <c r="P47" s="136">
        <f>Table1368[[#This Row],[Prix Min voulu (x2 )]]*1.2</f>
        <v>28.487999999999996</v>
      </c>
      <c r="Q47" s="134">
        <v>45995</v>
      </c>
      <c r="R47" s="134">
        <v>46009</v>
      </c>
      <c r="S47" s="135">
        <v>43</v>
      </c>
      <c r="T47" s="134" t="s">
        <v>160</v>
      </c>
      <c r="U47" s="134" t="s">
        <v>157</v>
      </c>
      <c r="V47" s="137">
        <f>IF(ISBLANK(Table1368[[#This Row],[Date réception Achat]]),"",IF(ISBLANK(Table1368[[#This Row],[Date revente]]),TODAY(),Table1368[[#This Row],[Date revente]])-Table1368[[#This Row],[Date réception Achat]])</f>
        <v>21</v>
      </c>
      <c r="W4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7" s="135">
        <f>IF(Table1368[[#This Row],[Prix de revente]]="","",Table1368[[#This Row],[Prix de revente]]-Table1368[[#This Row],[Prix total Achat]])</f>
        <v>31.130000000000003</v>
      </c>
      <c r="Y47" s="138">
        <f>IF(Table1368[[#This Row],[Prix de revente]]="","",(Table1368[[#This Row],[Prix de revente]]/Table1368[[#This Row],[Prix total Achat]]))</f>
        <v>3.6225779275484418</v>
      </c>
      <c r="Z47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47" s="139">
        <f>IF(ISBLANK(Table1368[[#This Row],[Date relisting]]),"",IF(ISBLANK(Table1368[[#This Row],[Date relisting]]),TODAY(),Table1368[[#This Row],[Date relisting]])-Table1368[[#This Row],[Date réception Achat]])</f>
        <v>7</v>
      </c>
      <c r="AB47" s="139">
        <f>IF(ISBLANK(Table1368[[#This Row],[Date revente]]),"",IF(ISBLANK(Table1368[[#This Row],[Date revente]]),TODAY(),Table1368[[#This Row],[Date revente]])-Table1368[[#This Row],[Date relisting]])</f>
        <v>14</v>
      </c>
      <c r="AC47" s="139">
        <f>IF(ISBLANK(Table1368[[#This Row],[Date revente]]),"",IF(ISBLANK(Table1368[[#This Row],[Date revente]]),TODAY(),Table1368[[#This Row],[Date revente]])-Table1368[[#This Row],[Date réception Achat]])</f>
        <v>21</v>
      </c>
      <c r="AD47" s="139">
        <f>IF(ISBLANK(Table1368[[#This Row],[Date revente]]),"",IF(ISBLANK(Table1368[[#This Row],[Date revente]]),TODAY(),Table1368[[#This Row],[Date revente]])-Table1368[[#This Row],[Date achat]])</f>
        <v>30</v>
      </c>
    </row>
    <row r="48" spans="1:30" x14ac:dyDescent="0.25">
      <c r="A48" s="134">
        <v>45980</v>
      </c>
      <c r="B48" s="141" t="s">
        <v>269</v>
      </c>
      <c r="C48" s="134" t="s">
        <v>276</v>
      </c>
      <c r="D48" s="127" t="s">
        <v>157</v>
      </c>
      <c r="E48" s="127"/>
      <c r="F48" s="127"/>
      <c r="G48" s="134" t="s">
        <v>277</v>
      </c>
      <c r="H48" s="127" t="s">
        <v>254</v>
      </c>
      <c r="I48" s="134" t="s">
        <v>160</v>
      </c>
      <c r="J48" s="134" t="s">
        <v>157</v>
      </c>
      <c r="K48" s="135">
        <v>30</v>
      </c>
      <c r="L48" s="135">
        <f>Table1368[[#This Row],[Prix total Achat]]-Table1368[[#This Row],[Prix article]]</f>
        <v>7.590000000000003</v>
      </c>
      <c r="M48" s="135">
        <v>37.59</v>
      </c>
      <c r="N48" s="134">
        <v>45989</v>
      </c>
      <c r="O48" s="136">
        <f>(Table1368[[#This Row],[Prix total Achat]]*2)</f>
        <v>75.18</v>
      </c>
      <c r="P48" s="136">
        <f>Table1368[[#This Row],[Prix Min voulu (x2 )]]*1.2</f>
        <v>90.21600000000001</v>
      </c>
      <c r="Q48" s="134">
        <v>45991</v>
      </c>
      <c r="R48" s="134">
        <v>46021</v>
      </c>
      <c r="S48" s="135">
        <v>65</v>
      </c>
      <c r="T48" s="134" t="s">
        <v>160</v>
      </c>
      <c r="U48" s="134" t="s">
        <v>157</v>
      </c>
      <c r="V48" s="137">
        <f>IF(ISBLANK(Table1368[[#This Row],[Date réception Achat]]),"",IF(ISBLANK(Table1368[[#This Row],[Date revente]]),TODAY(),Table1368[[#This Row],[Date revente]])-Table1368[[#This Row],[Date réception Achat]])</f>
        <v>32</v>
      </c>
      <c r="W4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8" s="135">
        <f>IF(Table1368[[#This Row],[Prix de revente]]="","",Table1368[[#This Row],[Prix de revente]]-Table1368[[#This Row],[Prix total Achat]])</f>
        <v>27.409999999999997</v>
      </c>
      <c r="Y48" s="138">
        <f>IF(Table1368[[#This Row],[Prix de revente]]="","",(Table1368[[#This Row],[Prix de revente]]/Table1368[[#This Row],[Prix total Achat]]))</f>
        <v>1.7291832934291034</v>
      </c>
      <c r="Z48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48" s="139">
        <f>IF(ISBLANK(Table1368[[#This Row],[Date relisting]]),"",IF(ISBLANK(Table1368[[#This Row],[Date relisting]]),TODAY(),Table1368[[#This Row],[Date relisting]])-Table1368[[#This Row],[Date réception Achat]])</f>
        <v>2</v>
      </c>
      <c r="AB48" s="139">
        <f>IF(ISBLANK(Table1368[[#This Row],[Date revente]]),"",IF(ISBLANK(Table1368[[#This Row],[Date revente]]),TODAY(),Table1368[[#This Row],[Date revente]])-Table1368[[#This Row],[Date relisting]])</f>
        <v>30</v>
      </c>
      <c r="AC48" s="139">
        <f>IF(ISBLANK(Table1368[[#This Row],[Date revente]]),"",IF(ISBLANK(Table1368[[#This Row],[Date revente]]),TODAY(),Table1368[[#This Row],[Date revente]])-Table1368[[#This Row],[Date réception Achat]])</f>
        <v>32</v>
      </c>
      <c r="AD48" s="139">
        <f>IF(ISBLANK(Table1368[[#This Row],[Date revente]]),"",IF(ISBLANK(Table1368[[#This Row],[Date revente]]),TODAY(),Table1368[[#This Row],[Date revente]])-Table1368[[#This Row],[Date achat]])</f>
        <v>41</v>
      </c>
    </row>
    <row r="49" spans="1:30" x14ac:dyDescent="0.25">
      <c r="A49" s="134">
        <v>45984</v>
      </c>
      <c r="B49" s="141" t="s">
        <v>234</v>
      </c>
      <c r="C49" s="134" t="s">
        <v>278</v>
      </c>
      <c r="D49" s="127" t="s">
        <v>157</v>
      </c>
      <c r="E49" s="127"/>
      <c r="F49" s="127"/>
      <c r="G49" s="134" t="s">
        <v>245</v>
      </c>
      <c r="H49" s="127" t="s">
        <v>279</v>
      </c>
      <c r="I49" s="134" t="s">
        <v>160</v>
      </c>
      <c r="J49" s="134" t="s">
        <v>157</v>
      </c>
      <c r="K49" s="135">
        <v>15</v>
      </c>
      <c r="L49" s="135">
        <f>Table1368[[#This Row],[Prix total Achat]]-Table1368[[#This Row],[Prix article]]</f>
        <v>4.73</v>
      </c>
      <c r="M49" s="135">
        <v>19.73</v>
      </c>
      <c r="N49" s="134">
        <v>45989</v>
      </c>
      <c r="O49" s="136">
        <f>(Table1368[[#This Row],[Prix total Achat]]*2)</f>
        <v>39.46</v>
      </c>
      <c r="P49" s="136">
        <f>Table1368[[#This Row],[Prix Min voulu (x2 )]]*1.2</f>
        <v>47.352</v>
      </c>
      <c r="Q49" s="134">
        <v>45991</v>
      </c>
      <c r="R49" s="134">
        <v>46038</v>
      </c>
      <c r="S49" s="135">
        <v>45</v>
      </c>
      <c r="T49" s="134" t="s">
        <v>160</v>
      </c>
      <c r="U49" s="134" t="s">
        <v>157</v>
      </c>
      <c r="V49" s="137">
        <f>IF(ISBLANK(Table1368[[#This Row],[Date réception Achat]]),"",IF(ISBLANK(Table1368[[#This Row],[Date revente]]),TODAY(),Table1368[[#This Row],[Date revente]])-Table1368[[#This Row],[Date réception Achat]])</f>
        <v>49</v>
      </c>
      <c r="W4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49" s="135">
        <f>IF(Table1368[[#This Row],[Prix de revente]]="","",Table1368[[#This Row],[Prix de revente]]-Table1368[[#This Row],[Prix total Achat]])</f>
        <v>25.27</v>
      </c>
      <c r="Y49" s="138">
        <f>IF(Table1368[[#This Row],[Prix de revente]]="","",(Table1368[[#This Row],[Prix de revente]]/Table1368[[#This Row],[Prix total Achat]]))</f>
        <v>2.2807906741003547</v>
      </c>
      <c r="Z49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49" s="139">
        <f>IF(ISBLANK(Table1368[[#This Row],[Date relisting]]),"",IF(ISBLANK(Table1368[[#This Row],[Date relisting]]),TODAY(),Table1368[[#This Row],[Date relisting]])-Table1368[[#This Row],[Date réception Achat]])</f>
        <v>2</v>
      </c>
      <c r="AB49" s="139">
        <f>IF(ISBLANK(Table1368[[#This Row],[Date revente]]),"",IF(ISBLANK(Table1368[[#This Row],[Date revente]]),TODAY(),Table1368[[#This Row],[Date revente]])-Table1368[[#This Row],[Date relisting]])</f>
        <v>47</v>
      </c>
      <c r="AC49" s="139">
        <f>IF(ISBLANK(Table1368[[#This Row],[Date revente]]),"",IF(ISBLANK(Table1368[[#This Row],[Date revente]]),TODAY(),Table1368[[#This Row],[Date revente]])-Table1368[[#This Row],[Date réception Achat]])</f>
        <v>49</v>
      </c>
      <c r="AD49" s="139">
        <f>IF(ISBLANK(Table1368[[#This Row],[Date revente]]),"",IF(ISBLANK(Table1368[[#This Row],[Date revente]]),TODAY(),Table1368[[#This Row],[Date revente]])-Table1368[[#This Row],[Date achat]])</f>
        <v>54</v>
      </c>
    </row>
    <row r="50" spans="1:30" x14ac:dyDescent="0.25">
      <c r="A50" s="134">
        <v>45985</v>
      </c>
      <c r="B50" s="141" t="s">
        <v>203</v>
      </c>
      <c r="C50" s="134" t="s">
        <v>280</v>
      </c>
      <c r="D50" s="127" t="s">
        <v>157</v>
      </c>
      <c r="E50" s="127"/>
      <c r="F50" s="127"/>
      <c r="G50" s="134" t="s">
        <v>281</v>
      </c>
      <c r="H50" s="127" t="s">
        <v>174</v>
      </c>
      <c r="I50" s="134" t="s">
        <v>160</v>
      </c>
      <c r="J50" s="134" t="s">
        <v>189</v>
      </c>
      <c r="K50" s="135">
        <v>7.5</v>
      </c>
      <c r="L50" s="135">
        <v>3.72</v>
      </c>
      <c r="M50" s="135">
        <f>SUM(Table1368[[#This Row],[Prix article]:[Frais plateforme + envoi]])</f>
        <v>11.22</v>
      </c>
      <c r="N50" s="134">
        <v>45990</v>
      </c>
      <c r="O50" s="136">
        <f>(Table1368[[#This Row],[Prix total Achat]]*2)</f>
        <v>22.44</v>
      </c>
      <c r="P50" s="136">
        <f>Table1368[[#This Row],[Prix Min voulu (x2 )]]*1.2</f>
        <v>26.928</v>
      </c>
      <c r="Q50" s="134">
        <v>45995</v>
      </c>
      <c r="R50" s="134">
        <v>46000</v>
      </c>
      <c r="S50" s="135">
        <v>75</v>
      </c>
      <c r="T50" s="134" t="s">
        <v>160</v>
      </c>
      <c r="U50" s="134" t="s">
        <v>157</v>
      </c>
      <c r="V50" s="137">
        <f>IF(ISBLANK(Table1368[[#This Row],[Date réception Achat]]),"",IF(ISBLANK(Table1368[[#This Row],[Date revente]]),TODAY(),Table1368[[#This Row],[Date revente]])-Table1368[[#This Row],[Date réception Achat]])</f>
        <v>10</v>
      </c>
      <c r="W5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0" s="135">
        <f>IF(Table1368[[#This Row],[Prix de revente]]="","",Table1368[[#This Row],[Prix de revente]]-Table1368[[#This Row],[Prix total Achat]])</f>
        <v>63.78</v>
      </c>
      <c r="Y50" s="138">
        <f>IF(Table1368[[#This Row],[Prix de revente]]="","",(Table1368[[#This Row],[Prix de revente]]/Table1368[[#This Row],[Prix total Achat]]))</f>
        <v>6.684491978609625</v>
      </c>
      <c r="Z50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50" s="139">
        <f>IF(ISBLANK(Table1368[[#This Row],[Date relisting]]),"",IF(ISBLANK(Table1368[[#This Row],[Date relisting]]),TODAY(),Table1368[[#This Row],[Date relisting]])-Table1368[[#This Row],[Date réception Achat]])</f>
        <v>5</v>
      </c>
      <c r="AB50" s="139">
        <f>IF(ISBLANK(Table1368[[#This Row],[Date revente]]),"",IF(ISBLANK(Table1368[[#This Row],[Date revente]]),TODAY(),Table1368[[#This Row],[Date revente]])-Table1368[[#This Row],[Date relisting]])</f>
        <v>5</v>
      </c>
      <c r="AC50" s="139">
        <f>IF(ISBLANK(Table1368[[#This Row],[Date revente]]),"",IF(ISBLANK(Table1368[[#This Row],[Date revente]]),TODAY(),Table1368[[#This Row],[Date revente]])-Table1368[[#This Row],[Date réception Achat]])</f>
        <v>10</v>
      </c>
      <c r="AD50" s="139">
        <f>IF(ISBLANK(Table1368[[#This Row],[Date revente]]),"",IF(ISBLANK(Table1368[[#This Row],[Date revente]]),TODAY(),Table1368[[#This Row],[Date revente]])-Table1368[[#This Row],[Date achat]])</f>
        <v>15</v>
      </c>
    </row>
    <row r="51" spans="1:30" x14ac:dyDescent="0.25">
      <c r="A51" s="134">
        <v>45985</v>
      </c>
      <c r="B51" s="141" t="s">
        <v>282</v>
      </c>
      <c r="C51" s="134" t="s">
        <v>283</v>
      </c>
      <c r="D51" s="127" t="s">
        <v>157</v>
      </c>
      <c r="E51" s="127"/>
      <c r="F51" s="127"/>
      <c r="G51" s="134" t="s">
        <v>284</v>
      </c>
      <c r="H51" s="127" t="s">
        <v>174</v>
      </c>
      <c r="I51" s="134" t="s">
        <v>160</v>
      </c>
      <c r="J51" s="134" t="s">
        <v>189</v>
      </c>
      <c r="K51" s="135">
        <v>7.5</v>
      </c>
      <c r="L51" s="135">
        <v>3.72</v>
      </c>
      <c r="M51" s="135">
        <f>SUM(Table1368[[#This Row],[Prix article]:[Frais plateforme + envoi]])</f>
        <v>11.22</v>
      </c>
      <c r="N51" s="134">
        <v>45990</v>
      </c>
      <c r="O51" s="136">
        <f>(Table1368[[#This Row],[Prix total Achat]]*2)</f>
        <v>22.44</v>
      </c>
      <c r="P51" s="136">
        <f>Table1368[[#This Row],[Prix Min voulu (x2 )]]*1.2</f>
        <v>26.928</v>
      </c>
      <c r="Q51" s="134">
        <v>45995</v>
      </c>
      <c r="R51" s="134">
        <v>46031</v>
      </c>
      <c r="S51" s="135">
        <v>15</v>
      </c>
      <c r="T51" s="134" t="s">
        <v>160</v>
      </c>
      <c r="U51" s="134" t="s">
        <v>157</v>
      </c>
      <c r="V51" s="137">
        <f>IF(ISBLANK(Table1368[[#This Row],[Date réception Achat]]),"",IF(ISBLANK(Table1368[[#This Row],[Date revente]]),TODAY(),Table1368[[#This Row],[Date revente]])-Table1368[[#This Row],[Date réception Achat]])</f>
        <v>41</v>
      </c>
      <c r="W5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1" s="135">
        <f>IF(Table1368[[#This Row],[Prix de revente]]="","",Table1368[[#This Row],[Prix de revente]]-Table1368[[#This Row],[Prix total Achat]])</f>
        <v>3.7799999999999994</v>
      </c>
      <c r="Y51" s="138">
        <f>IF(Table1368[[#This Row],[Prix de revente]]="","",(Table1368[[#This Row],[Prix de revente]]/Table1368[[#This Row],[Prix total Achat]]))</f>
        <v>1.3368983957219251</v>
      </c>
      <c r="Z51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51" s="139">
        <f>IF(ISBLANK(Table1368[[#This Row],[Date relisting]]),"",IF(ISBLANK(Table1368[[#This Row],[Date relisting]]),TODAY(),Table1368[[#This Row],[Date relisting]])-Table1368[[#This Row],[Date réception Achat]])</f>
        <v>5</v>
      </c>
      <c r="AB51" s="139">
        <f>IF(ISBLANK(Table1368[[#This Row],[Date revente]]),"",IF(ISBLANK(Table1368[[#This Row],[Date revente]]),TODAY(),Table1368[[#This Row],[Date revente]])-Table1368[[#This Row],[Date relisting]])</f>
        <v>36</v>
      </c>
      <c r="AC51" s="139">
        <f>IF(ISBLANK(Table1368[[#This Row],[Date revente]]),"",IF(ISBLANK(Table1368[[#This Row],[Date revente]]),TODAY(),Table1368[[#This Row],[Date revente]])-Table1368[[#This Row],[Date réception Achat]])</f>
        <v>41</v>
      </c>
      <c r="AD51" s="139">
        <f>IF(ISBLANK(Table1368[[#This Row],[Date revente]]),"",IF(ISBLANK(Table1368[[#This Row],[Date revente]]),TODAY(),Table1368[[#This Row],[Date revente]])-Table1368[[#This Row],[Date achat]])</f>
        <v>46</v>
      </c>
    </row>
    <row r="52" spans="1:30" x14ac:dyDescent="0.25">
      <c r="A52" s="134">
        <v>45987</v>
      </c>
      <c r="B52" s="141" t="s">
        <v>285</v>
      </c>
      <c r="C52" s="134" t="s">
        <v>286</v>
      </c>
      <c r="D52" s="127" t="s">
        <v>157</v>
      </c>
      <c r="E52" s="127"/>
      <c r="F52" s="127"/>
      <c r="G52" s="134" t="s">
        <v>228</v>
      </c>
      <c r="H52" s="127" t="s">
        <v>287</v>
      </c>
      <c r="I52" s="134" t="s">
        <v>160</v>
      </c>
      <c r="J52" s="134" t="s">
        <v>157</v>
      </c>
      <c r="K52" s="135">
        <v>20</v>
      </c>
      <c r="L52" s="135">
        <f>Table1368[[#This Row],[Prix total Achat]]-Table1368[[#This Row],[Prix article]]</f>
        <v>4.890000000000001</v>
      </c>
      <c r="M52" s="135">
        <v>24.89</v>
      </c>
      <c r="N52" s="134">
        <v>46003</v>
      </c>
      <c r="O52" s="136">
        <f>(Table1368[[#This Row],[Prix total Achat]]*2)</f>
        <v>49.78</v>
      </c>
      <c r="P52" s="136">
        <f>Table1368[[#This Row],[Prix Min voulu (x2 )]]*1.2</f>
        <v>59.736</v>
      </c>
      <c r="Q52" s="134">
        <v>46007</v>
      </c>
      <c r="R52" s="134">
        <v>46007</v>
      </c>
      <c r="S52" s="135">
        <v>50</v>
      </c>
      <c r="T52" s="134" t="s">
        <v>160</v>
      </c>
      <c r="U52" s="134" t="s">
        <v>157</v>
      </c>
      <c r="V52" s="137">
        <f>IF(ISBLANK(Table1368[[#This Row],[Date réception Achat]]),"",IF(ISBLANK(Table1368[[#This Row],[Date revente]]),TODAY(),Table1368[[#This Row],[Date revente]])-Table1368[[#This Row],[Date réception Achat]])</f>
        <v>4</v>
      </c>
      <c r="W5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2" s="135">
        <f>IF(Table1368[[#This Row],[Prix de revente]]="","",Table1368[[#This Row],[Prix de revente]]-Table1368[[#This Row],[Prix total Achat]])</f>
        <v>25.11</v>
      </c>
      <c r="Y52" s="138">
        <f>IF(Table1368[[#This Row],[Prix de revente]]="","",(Table1368[[#This Row],[Prix de revente]]/Table1368[[#This Row],[Prix total Achat]]))</f>
        <v>2.008838891120932</v>
      </c>
      <c r="Z52" s="139">
        <f>IF(ISBLANK(Table1368[[#This Row],[Date réception Achat]]),"",IF(ISBLANK(Table1368[[#This Row],[Date réception Achat]]),TODAY(),Table1368[[#This Row],[Date réception Achat]])-Table1368[[#This Row],[Date achat]])</f>
        <v>16</v>
      </c>
      <c r="AA52" s="139">
        <f>IF(ISBLANK(Table1368[[#This Row],[Date relisting]]),"",IF(ISBLANK(Table1368[[#This Row],[Date relisting]]),TODAY(),Table1368[[#This Row],[Date relisting]])-Table1368[[#This Row],[Date réception Achat]])</f>
        <v>4</v>
      </c>
      <c r="AB52" s="139">
        <f>IF(ISBLANK(Table1368[[#This Row],[Date revente]]),"",IF(ISBLANK(Table1368[[#This Row],[Date revente]]),TODAY(),Table1368[[#This Row],[Date revente]])-Table1368[[#This Row],[Date relisting]])</f>
        <v>0</v>
      </c>
      <c r="AC52" s="139">
        <f>IF(ISBLANK(Table1368[[#This Row],[Date revente]]),"",IF(ISBLANK(Table1368[[#This Row],[Date revente]]),TODAY(),Table1368[[#This Row],[Date revente]])-Table1368[[#This Row],[Date réception Achat]])</f>
        <v>4</v>
      </c>
      <c r="AD52" s="139">
        <f>IF(ISBLANK(Table1368[[#This Row],[Date revente]]),"",IF(ISBLANK(Table1368[[#This Row],[Date revente]]),TODAY(),Table1368[[#This Row],[Date revente]])-Table1368[[#This Row],[Date achat]])</f>
        <v>20</v>
      </c>
    </row>
    <row r="53" spans="1:30" x14ac:dyDescent="0.25">
      <c r="A53" s="134">
        <v>45987</v>
      </c>
      <c r="B53" s="141" t="s">
        <v>288</v>
      </c>
      <c r="C53" s="134" t="s">
        <v>289</v>
      </c>
      <c r="D53" s="127" t="s">
        <v>157</v>
      </c>
      <c r="E53" s="127"/>
      <c r="F53" s="127"/>
      <c r="G53" s="134" t="s">
        <v>228</v>
      </c>
      <c r="H53" s="127" t="s">
        <v>287</v>
      </c>
      <c r="I53" s="134" t="s">
        <v>160</v>
      </c>
      <c r="J53" s="134" t="s">
        <v>157</v>
      </c>
      <c r="K53" s="135">
        <v>6</v>
      </c>
      <c r="L53" s="135">
        <f>Table1368[[#This Row],[Prix total Achat]]-Table1368[[#This Row],[Prix article]]</f>
        <v>4.890000000000001</v>
      </c>
      <c r="M53" s="135">
        <v>10.89</v>
      </c>
      <c r="N53" s="134">
        <v>46000</v>
      </c>
      <c r="O53" s="136">
        <f>(Table1368[[#This Row],[Prix total Achat]]*2)</f>
        <v>21.78</v>
      </c>
      <c r="P53" s="136">
        <f>Table1368[[#This Row],[Prix Min voulu (x2 )]]*1.2</f>
        <v>26.136</v>
      </c>
      <c r="Q53" s="134">
        <v>46003</v>
      </c>
      <c r="R53" s="134">
        <v>46015</v>
      </c>
      <c r="S53" s="135">
        <v>36</v>
      </c>
      <c r="T53" s="134" t="s">
        <v>160</v>
      </c>
      <c r="U53" s="134" t="s">
        <v>157</v>
      </c>
      <c r="V53" s="137">
        <f>IF(ISBLANK(Table1368[[#This Row],[Date réception Achat]]),"",IF(ISBLANK(Table1368[[#This Row],[Date revente]]),TODAY(),Table1368[[#This Row],[Date revente]])-Table1368[[#This Row],[Date réception Achat]])</f>
        <v>15</v>
      </c>
      <c r="W5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3" s="135">
        <f>IF(Table1368[[#This Row],[Prix de revente]]="","",Table1368[[#This Row],[Prix de revente]]-Table1368[[#This Row],[Prix total Achat]])</f>
        <v>25.11</v>
      </c>
      <c r="Y53" s="138">
        <f>IF(Table1368[[#This Row],[Prix de revente]]="","",(Table1368[[#This Row],[Prix de revente]]/Table1368[[#This Row],[Prix total Achat]]))</f>
        <v>3.305785123966942</v>
      </c>
      <c r="Z53" s="139">
        <f>IF(ISBLANK(Table1368[[#This Row],[Date réception Achat]]),"",IF(ISBLANK(Table1368[[#This Row],[Date réception Achat]]),TODAY(),Table1368[[#This Row],[Date réception Achat]])-Table1368[[#This Row],[Date achat]])</f>
        <v>13</v>
      </c>
      <c r="AA53" s="139">
        <f>IF(ISBLANK(Table1368[[#This Row],[Date relisting]]),"",IF(ISBLANK(Table1368[[#This Row],[Date relisting]]),TODAY(),Table1368[[#This Row],[Date relisting]])-Table1368[[#This Row],[Date réception Achat]])</f>
        <v>3</v>
      </c>
      <c r="AB53" s="139">
        <f>IF(ISBLANK(Table1368[[#This Row],[Date revente]]),"",IF(ISBLANK(Table1368[[#This Row],[Date revente]]),TODAY(),Table1368[[#This Row],[Date revente]])-Table1368[[#This Row],[Date relisting]])</f>
        <v>12</v>
      </c>
      <c r="AC53" s="139">
        <f>IF(ISBLANK(Table1368[[#This Row],[Date revente]]),"",IF(ISBLANK(Table1368[[#This Row],[Date revente]]),TODAY(),Table1368[[#This Row],[Date revente]])-Table1368[[#This Row],[Date réception Achat]])</f>
        <v>15</v>
      </c>
      <c r="AD53" s="139">
        <f>IF(ISBLANK(Table1368[[#This Row],[Date revente]]),"",IF(ISBLANK(Table1368[[#This Row],[Date revente]]),TODAY(),Table1368[[#This Row],[Date revente]])-Table1368[[#This Row],[Date achat]])</f>
        <v>28</v>
      </c>
    </row>
    <row r="54" spans="1:30" x14ac:dyDescent="0.25">
      <c r="A54" s="134">
        <v>45989</v>
      </c>
      <c r="B54" s="141" t="s">
        <v>207</v>
      </c>
      <c r="C54" s="134" t="s">
        <v>290</v>
      </c>
      <c r="D54" s="127" t="s">
        <v>157</v>
      </c>
      <c r="E54" s="127"/>
      <c r="F54" s="127"/>
      <c r="G54" s="134" t="s">
        <v>209</v>
      </c>
      <c r="H54" s="127" t="s">
        <v>164</v>
      </c>
      <c r="I54" s="134" t="s">
        <v>160</v>
      </c>
      <c r="J54" s="134" t="s">
        <v>157</v>
      </c>
      <c r="K54" s="135">
        <v>5</v>
      </c>
      <c r="L54" s="135">
        <f>Table1368[[#This Row],[Prix total Achat]]-Table1368[[#This Row],[Prix article]]</f>
        <v>4.73</v>
      </c>
      <c r="M54" s="135">
        <v>9.73</v>
      </c>
      <c r="N54" s="134">
        <v>45997</v>
      </c>
      <c r="O54" s="136">
        <f>(Table1368[[#This Row],[Prix total Achat]]*2)</f>
        <v>19.46</v>
      </c>
      <c r="P54" s="136">
        <f>Table1368[[#This Row],[Prix Min voulu (x2 )]]*1.2</f>
        <v>23.352</v>
      </c>
      <c r="Q54" s="134">
        <v>46003</v>
      </c>
      <c r="R54" s="134">
        <v>46006</v>
      </c>
      <c r="S54" s="135">
        <v>28</v>
      </c>
      <c r="T54" s="134" t="s">
        <v>160</v>
      </c>
      <c r="U54" s="134" t="s">
        <v>157</v>
      </c>
      <c r="V54" s="137">
        <f>IF(ISBLANK(Table1368[[#This Row],[Date réception Achat]]),"",IF(ISBLANK(Table1368[[#This Row],[Date revente]]),TODAY(),Table1368[[#This Row],[Date revente]])-Table1368[[#This Row],[Date réception Achat]])</f>
        <v>9</v>
      </c>
      <c r="W5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4" s="135">
        <f>IF(Table1368[[#This Row],[Prix de revente]]="","",Table1368[[#This Row],[Prix de revente]]-Table1368[[#This Row],[Prix total Achat]])</f>
        <v>18.27</v>
      </c>
      <c r="Y54" s="138">
        <f>IF(Table1368[[#This Row],[Prix de revente]]="","",(Table1368[[#This Row],[Prix de revente]]/Table1368[[#This Row],[Prix total Achat]]))</f>
        <v>2.8776978417266186</v>
      </c>
      <c r="Z54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54" s="139">
        <f>IF(ISBLANK(Table1368[[#This Row],[Date relisting]]),"",IF(ISBLANK(Table1368[[#This Row],[Date relisting]]),TODAY(),Table1368[[#This Row],[Date relisting]])-Table1368[[#This Row],[Date réception Achat]])</f>
        <v>6</v>
      </c>
      <c r="AB54" s="139">
        <f>IF(ISBLANK(Table1368[[#This Row],[Date revente]]),"",IF(ISBLANK(Table1368[[#This Row],[Date revente]]),TODAY(),Table1368[[#This Row],[Date revente]])-Table1368[[#This Row],[Date relisting]])</f>
        <v>3</v>
      </c>
      <c r="AC54" s="139">
        <f>IF(ISBLANK(Table1368[[#This Row],[Date revente]]),"",IF(ISBLANK(Table1368[[#This Row],[Date revente]]),TODAY(),Table1368[[#This Row],[Date revente]])-Table1368[[#This Row],[Date réception Achat]])</f>
        <v>9</v>
      </c>
      <c r="AD54" s="139">
        <f>IF(ISBLANK(Table1368[[#This Row],[Date revente]]),"",IF(ISBLANK(Table1368[[#This Row],[Date revente]]),TODAY(),Table1368[[#This Row],[Date revente]])-Table1368[[#This Row],[Date achat]])</f>
        <v>17</v>
      </c>
    </row>
    <row r="55" spans="1:30" x14ac:dyDescent="0.25">
      <c r="A55" s="134">
        <v>45990</v>
      </c>
      <c r="B55" s="141" t="s">
        <v>203</v>
      </c>
      <c r="C55" s="134" t="s">
        <v>291</v>
      </c>
      <c r="D55" s="127" t="s">
        <v>157</v>
      </c>
      <c r="E55" s="127"/>
      <c r="F55" s="127"/>
      <c r="G55" s="134" t="s">
        <v>228</v>
      </c>
      <c r="H55" s="127" t="s">
        <v>174</v>
      </c>
      <c r="I55" s="134" t="s">
        <v>160</v>
      </c>
      <c r="J55" s="134" t="s">
        <v>157</v>
      </c>
      <c r="K55" s="135">
        <v>12</v>
      </c>
      <c r="L55" s="135">
        <f>Table1368[[#This Row],[Prix total Achat]]-Table1368[[#This Row],[Prix article]]</f>
        <v>5.890000000000001</v>
      </c>
      <c r="M55" s="135">
        <v>17.89</v>
      </c>
      <c r="N55" s="134">
        <v>45997</v>
      </c>
      <c r="O55" s="136">
        <f>(Table1368[[#This Row],[Prix total Achat]]*2)</f>
        <v>35.78</v>
      </c>
      <c r="P55" s="136">
        <f>Table1368[[#This Row],[Prix Min voulu (x2 )]]*1.2</f>
        <v>42.936</v>
      </c>
      <c r="Q55" s="134">
        <v>46003</v>
      </c>
      <c r="R55" s="134">
        <v>46003</v>
      </c>
      <c r="S55" s="135">
        <v>75</v>
      </c>
      <c r="T55" s="134" t="s">
        <v>160</v>
      </c>
      <c r="U55" s="134" t="s">
        <v>157</v>
      </c>
      <c r="V55" s="137">
        <f>IF(ISBLANK(Table1368[[#This Row],[Date réception Achat]]),"",IF(ISBLANK(Table1368[[#This Row],[Date revente]]),TODAY(),Table1368[[#This Row],[Date revente]])-Table1368[[#This Row],[Date réception Achat]])</f>
        <v>6</v>
      </c>
      <c r="W5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5" s="135">
        <f>IF(Table1368[[#This Row],[Prix de revente]]="","",Table1368[[#This Row],[Prix de revente]]-Table1368[[#This Row],[Prix total Achat]])</f>
        <v>57.11</v>
      </c>
      <c r="Y55" s="138">
        <f>IF(Table1368[[#This Row],[Prix de revente]]="","",(Table1368[[#This Row],[Prix de revente]]/Table1368[[#This Row],[Prix total Achat]]))</f>
        <v>4.192286193404136</v>
      </c>
      <c r="Z55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55" s="139">
        <f>IF(ISBLANK(Table1368[[#This Row],[Date relisting]]),"",IF(ISBLANK(Table1368[[#This Row],[Date relisting]]),TODAY(),Table1368[[#This Row],[Date relisting]])-Table1368[[#This Row],[Date réception Achat]])</f>
        <v>6</v>
      </c>
      <c r="AB55" s="139">
        <f>IF(ISBLANK(Table1368[[#This Row],[Date revente]]),"",IF(ISBLANK(Table1368[[#This Row],[Date revente]]),TODAY(),Table1368[[#This Row],[Date revente]])-Table1368[[#This Row],[Date relisting]])</f>
        <v>0</v>
      </c>
      <c r="AC55" s="139">
        <f>IF(ISBLANK(Table1368[[#This Row],[Date revente]]),"",IF(ISBLANK(Table1368[[#This Row],[Date revente]]),TODAY(),Table1368[[#This Row],[Date revente]])-Table1368[[#This Row],[Date réception Achat]])</f>
        <v>6</v>
      </c>
      <c r="AD55" s="139">
        <f>IF(ISBLANK(Table1368[[#This Row],[Date revente]]),"",IF(ISBLANK(Table1368[[#This Row],[Date revente]]),TODAY(),Table1368[[#This Row],[Date revente]])-Table1368[[#This Row],[Date achat]])</f>
        <v>13</v>
      </c>
    </row>
    <row r="56" spans="1:30" x14ac:dyDescent="0.25">
      <c r="A56" s="134">
        <v>45990</v>
      </c>
      <c r="B56" s="141" t="s">
        <v>292</v>
      </c>
      <c r="C56" s="134" t="s">
        <v>293</v>
      </c>
      <c r="D56" s="127" t="s">
        <v>157</v>
      </c>
      <c r="E56" s="127"/>
      <c r="F56" s="127"/>
      <c r="G56" s="134" t="s">
        <v>284</v>
      </c>
      <c r="H56" s="127" t="s">
        <v>164</v>
      </c>
      <c r="I56" s="134" t="s">
        <v>160</v>
      </c>
      <c r="J56" s="134" t="s">
        <v>157</v>
      </c>
      <c r="K56" s="135">
        <v>15</v>
      </c>
      <c r="L56" s="135">
        <f>Table1368[[#This Row],[Prix total Achat]]-Table1368[[#This Row],[Prix article]]</f>
        <v>4.34</v>
      </c>
      <c r="M56" s="135">
        <v>19.34</v>
      </c>
      <c r="N56" s="134">
        <v>46002</v>
      </c>
      <c r="O56" s="136">
        <f>(Table1368[[#This Row],[Prix total Achat]]*2)</f>
        <v>38.68</v>
      </c>
      <c r="P56" s="136">
        <f>Table1368[[#This Row],[Prix Min voulu (x2 )]]*1.2</f>
        <v>46.416</v>
      </c>
      <c r="Q56" s="134">
        <v>46003</v>
      </c>
      <c r="R56" s="134">
        <v>46003</v>
      </c>
      <c r="S56" s="135">
        <v>68</v>
      </c>
      <c r="T56" s="134" t="s">
        <v>160</v>
      </c>
      <c r="U56" s="134" t="s">
        <v>157</v>
      </c>
      <c r="V56" s="137">
        <f>IF(ISBLANK(Table1368[[#This Row],[Date réception Achat]]),"",IF(ISBLANK(Table1368[[#This Row],[Date revente]]),TODAY(),Table1368[[#This Row],[Date revente]])-Table1368[[#This Row],[Date réception Achat]])</f>
        <v>1</v>
      </c>
      <c r="W5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6" s="135">
        <f>IF(Table1368[[#This Row],[Prix de revente]]="","",Table1368[[#This Row],[Prix de revente]]-Table1368[[#This Row],[Prix total Achat]])</f>
        <v>48.66</v>
      </c>
      <c r="Y56" s="138">
        <f>IF(Table1368[[#This Row],[Prix de revente]]="","",(Table1368[[#This Row],[Prix de revente]]/Table1368[[#This Row],[Prix total Achat]]))</f>
        <v>3.516028955532575</v>
      </c>
      <c r="Z56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56" s="139">
        <f>IF(ISBLANK(Table1368[[#This Row],[Date relisting]]),"",IF(ISBLANK(Table1368[[#This Row],[Date relisting]]),TODAY(),Table1368[[#This Row],[Date relisting]])-Table1368[[#This Row],[Date réception Achat]])</f>
        <v>1</v>
      </c>
      <c r="AB56" s="139">
        <f>IF(ISBLANK(Table1368[[#This Row],[Date revente]]),"",IF(ISBLANK(Table1368[[#This Row],[Date revente]]),TODAY(),Table1368[[#This Row],[Date revente]])-Table1368[[#This Row],[Date relisting]])</f>
        <v>0</v>
      </c>
      <c r="AC56" s="139">
        <f>IF(ISBLANK(Table1368[[#This Row],[Date revente]]),"",IF(ISBLANK(Table1368[[#This Row],[Date revente]]),TODAY(),Table1368[[#This Row],[Date revente]])-Table1368[[#This Row],[Date réception Achat]])</f>
        <v>1</v>
      </c>
      <c r="AD56" s="139">
        <f>IF(ISBLANK(Table1368[[#This Row],[Date revente]]),"",IF(ISBLANK(Table1368[[#This Row],[Date revente]]),TODAY(),Table1368[[#This Row],[Date revente]])-Table1368[[#This Row],[Date achat]])</f>
        <v>13</v>
      </c>
    </row>
    <row r="57" spans="1:30" x14ac:dyDescent="0.25">
      <c r="A57" s="134">
        <v>45991</v>
      </c>
      <c r="B57" s="141" t="s">
        <v>226</v>
      </c>
      <c r="C57" s="134" t="s">
        <v>294</v>
      </c>
      <c r="D57" s="127" t="s">
        <v>157</v>
      </c>
      <c r="E57" s="127"/>
      <c r="F57" s="127"/>
      <c r="G57" s="134" t="s">
        <v>245</v>
      </c>
      <c r="H57" s="127" t="s">
        <v>295</v>
      </c>
      <c r="I57" s="134" t="s">
        <v>160</v>
      </c>
      <c r="J57" s="134" t="s">
        <v>296</v>
      </c>
      <c r="K57" s="135">
        <v>7.5</v>
      </c>
      <c r="L57" s="135">
        <f>Table1368[[#This Row],[Prix total Achat]]-Table1368[[#This Row],[Prix article]]</f>
        <v>1.5</v>
      </c>
      <c r="M57" s="135">
        <v>9</v>
      </c>
      <c r="N57" s="134">
        <v>45999</v>
      </c>
      <c r="O57" s="136">
        <f>(Table1368[[#This Row],[Prix total Achat]]*2)</f>
        <v>18</v>
      </c>
      <c r="P57" s="136">
        <f>Table1368[[#This Row],[Prix Min voulu (x2 )]]*1.2</f>
        <v>21.599999999999998</v>
      </c>
      <c r="Q57" s="134">
        <v>46003</v>
      </c>
      <c r="R57" s="134">
        <v>46004</v>
      </c>
      <c r="S57" s="135">
        <v>45</v>
      </c>
      <c r="T57" s="134" t="s">
        <v>160</v>
      </c>
      <c r="U57" s="134" t="s">
        <v>157</v>
      </c>
      <c r="V57" s="137">
        <f>IF(ISBLANK(Table1368[[#This Row],[Date réception Achat]]),"",IF(ISBLANK(Table1368[[#This Row],[Date revente]]),TODAY(),Table1368[[#This Row],[Date revente]])-Table1368[[#This Row],[Date réception Achat]])</f>
        <v>5</v>
      </c>
      <c r="W5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7" s="135">
        <f>IF(Table1368[[#This Row],[Prix de revente]]="","",Table1368[[#This Row],[Prix de revente]]-Table1368[[#This Row],[Prix total Achat]])</f>
        <v>36</v>
      </c>
      <c r="Y57" s="138">
        <f>IF(Table1368[[#This Row],[Prix de revente]]="","",(Table1368[[#This Row],[Prix de revente]]/Table1368[[#This Row],[Prix total Achat]]))</f>
        <v>5</v>
      </c>
      <c r="Z57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57" s="139">
        <f>IF(ISBLANK(Table1368[[#This Row],[Date relisting]]),"",IF(ISBLANK(Table1368[[#This Row],[Date relisting]]),TODAY(),Table1368[[#This Row],[Date relisting]])-Table1368[[#This Row],[Date réception Achat]])</f>
        <v>4</v>
      </c>
      <c r="AB57" s="139">
        <f>IF(ISBLANK(Table1368[[#This Row],[Date revente]]),"",IF(ISBLANK(Table1368[[#This Row],[Date revente]]),TODAY(),Table1368[[#This Row],[Date revente]])-Table1368[[#This Row],[Date relisting]])</f>
        <v>1</v>
      </c>
      <c r="AC57" s="139">
        <f>IF(ISBLANK(Table1368[[#This Row],[Date revente]]),"",IF(ISBLANK(Table1368[[#This Row],[Date revente]]),TODAY(),Table1368[[#This Row],[Date revente]])-Table1368[[#This Row],[Date réception Achat]])</f>
        <v>5</v>
      </c>
      <c r="AD57" s="139">
        <f>IF(ISBLANK(Table1368[[#This Row],[Date revente]]),"",IF(ISBLANK(Table1368[[#This Row],[Date revente]]),TODAY(),Table1368[[#This Row],[Date revente]])-Table1368[[#This Row],[Date achat]])</f>
        <v>13</v>
      </c>
    </row>
    <row r="58" spans="1:30" x14ac:dyDescent="0.25">
      <c r="A58" s="134">
        <v>45991</v>
      </c>
      <c r="B58" s="141" t="s">
        <v>226</v>
      </c>
      <c r="C58" s="134" t="s">
        <v>297</v>
      </c>
      <c r="D58" s="127" t="s">
        <v>157</v>
      </c>
      <c r="E58" s="127"/>
      <c r="F58" s="127"/>
      <c r="G58" s="134" t="s">
        <v>228</v>
      </c>
      <c r="H58" s="127" t="s">
        <v>256</v>
      </c>
      <c r="I58" s="134" t="s">
        <v>160</v>
      </c>
      <c r="J58" s="134" t="s">
        <v>296</v>
      </c>
      <c r="K58" s="135">
        <v>7.5</v>
      </c>
      <c r="L58" s="135">
        <f>Table1368[[#This Row],[Prix total Achat]]-Table1368[[#This Row],[Prix article]]</f>
        <v>1.5</v>
      </c>
      <c r="M58" s="135">
        <v>9</v>
      </c>
      <c r="N58" s="134">
        <v>45999</v>
      </c>
      <c r="O58" s="136">
        <f>(Table1368[[#This Row],[Prix total Achat]]*2)</f>
        <v>18</v>
      </c>
      <c r="P58" s="136">
        <f>Table1368[[#This Row],[Prix Min voulu (x2 )]]*1.2</f>
        <v>21.599999999999998</v>
      </c>
      <c r="Q58" s="134">
        <v>46007</v>
      </c>
      <c r="R58" s="134">
        <v>46012</v>
      </c>
      <c r="S58" s="135">
        <v>35</v>
      </c>
      <c r="T58" s="134" t="s">
        <v>160</v>
      </c>
      <c r="U58" s="134" t="s">
        <v>157</v>
      </c>
      <c r="V58" s="137">
        <f>IF(ISBLANK(Table1368[[#This Row],[Date réception Achat]]),"",IF(ISBLANK(Table1368[[#This Row],[Date revente]]),TODAY(),Table1368[[#This Row],[Date revente]])-Table1368[[#This Row],[Date réception Achat]])</f>
        <v>13</v>
      </c>
      <c r="W5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8" s="135">
        <f>IF(Table1368[[#This Row],[Prix de revente]]="","",Table1368[[#This Row],[Prix de revente]]-Table1368[[#This Row],[Prix total Achat]])</f>
        <v>26</v>
      </c>
      <c r="Y58" s="138">
        <f>IF(Table1368[[#This Row],[Prix de revente]]="","",(Table1368[[#This Row],[Prix de revente]]/Table1368[[#This Row],[Prix total Achat]]))</f>
        <v>3.888888888888889</v>
      </c>
      <c r="Z58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58" s="139">
        <f>IF(ISBLANK(Table1368[[#This Row],[Date relisting]]),"",IF(ISBLANK(Table1368[[#This Row],[Date relisting]]),TODAY(),Table1368[[#This Row],[Date relisting]])-Table1368[[#This Row],[Date réception Achat]])</f>
        <v>8</v>
      </c>
      <c r="AB58" s="139">
        <f>IF(ISBLANK(Table1368[[#This Row],[Date revente]]),"",IF(ISBLANK(Table1368[[#This Row],[Date revente]]),TODAY(),Table1368[[#This Row],[Date revente]])-Table1368[[#This Row],[Date relisting]])</f>
        <v>5</v>
      </c>
      <c r="AC58" s="139">
        <f>IF(ISBLANK(Table1368[[#This Row],[Date revente]]),"",IF(ISBLANK(Table1368[[#This Row],[Date revente]]),TODAY(),Table1368[[#This Row],[Date revente]])-Table1368[[#This Row],[Date réception Achat]])</f>
        <v>13</v>
      </c>
      <c r="AD58" s="139">
        <f>IF(ISBLANK(Table1368[[#This Row],[Date revente]]),"",IF(ISBLANK(Table1368[[#This Row],[Date revente]]),TODAY(),Table1368[[#This Row],[Date revente]])-Table1368[[#This Row],[Date achat]])</f>
        <v>21</v>
      </c>
    </row>
    <row r="59" spans="1:30" x14ac:dyDescent="0.25">
      <c r="A59" s="134">
        <v>45991</v>
      </c>
      <c r="B59" s="141" t="s">
        <v>226</v>
      </c>
      <c r="C59" s="134" t="s">
        <v>298</v>
      </c>
      <c r="D59" s="127" t="s">
        <v>157</v>
      </c>
      <c r="E59" s="127"/>
      <c r="F59" s="127"/>
      <c r="G59" s="134" t="s">
        <v>228</v>
      </c>
      <c r="H59" s="127" t="s">
        <v>287</v>
      </c>
      <c r="I59" s="134" t="s">
        <v>160</v>
      </c>
      <c r="J59" s="134" t="s">
        <v>157</v>
      </c>
      <c r="K59" s="135">
        <v>12</v>
      </c>
      <c r="L59" s="135">
        <f>Table1368[[#This Row],[Prix total Achat]]-Table1368[[#This Row],[Prix article]]</f>
        <v>4.489999999999998</v>
      </c>
      <c r="M59" s="135">
        <v>16.49</v>
      </c>
      <c r="N59" s="134">
        <v>46008</v>
      </c>
      <c r="O59" s="136">
        <f>(Table1368[[#This Row],[Prix total Achat]]*2)</f>
        <v>32.98</v>
      </c>
      <c r="P59" s="136">
        <f>Table1368[[#This Row],[Prix Min voulu (x2 )]]*1.2</f>
        <v>39.57599999999999</v>
      </c>
      <c r="Q59" s="134">
        <v>46012</v>
      </c>
      <c r="R59" s="134">
        <v>46013</v>
      </c>
      <c r="S59" s="135">
        <v>40</v>
      </c>
      <c r="T59" s="134" t="s">
        <v>160</v>
      </c>
      <c r="U59" s="134" t="s">
        <v>157</v>
      </c>
      <c r="V59" s="137">
        <f>IF(ISBLANK(Table1368[[#This Row],[Date réception Achat]]),"",IF(ISBLANK(Table1368[[#This Row],[Date revente]]),TODAY(),Table1368[[#This Row],[Date revente]])-Table1368[[#This Row],[Date réception Achat]])</f>
        <v>5</v>
      </c>
      <c r="W5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59" s="135">
        <f>IF(Table1368[[#This Row],[Prix de revente]]="","",Table1368[[#This Row],[Prix de revente]]-Table1368[[#This Row],[Prix total Achat]])</f>
        <v>23.51</v>
      </c>
      <c r="Y59" s="138">
        <f>IF(Table1368[[#This Row],[Prix de revente]]="","",(Table1368[[#This Row],[Prix de revente]]/Table1368[[#This Row],[Prix total Achat]]))</f>
        <v>2.4257125530624624</v>
      </c>
      <c r="Z59" s="139">
        <f>IF(ISBLANK(Table1368[[#This Row],[Date réception Achat]]),"",IF(ISBLANK(Table1368[[#This Row],[Date réception Achat]]),TODAY(),Table1368[[#This Row],[Date réception Achat]])-Table1368[[#This Row],[Date achat]])</f>
        <v>17</v>
      </c>
      <c r="AA59" s="139">
        <f>IF(ISBLANK(Table1368[[#This Row],[Date relisting]]),"",IF(ISBLANK(Table1368[[#This Row],[Date relisting]]),TODAY(),Table1368[[#This Row],[Date relisting]])-Table1368[[#This Row],[Date réception Achat]])</f>
        <v>4</v>
      </c>
      <c r="AB59" s="139">
        <f>IF(ISBLANK(Table1368[[#This Row],[Date revente]]),"",IF(ISBLANK(Table1368[[#This Row],[Date revente]]),TODAY(),Table1368[[#This Row],[Date revente]])-Table1368[[#This Row],[Date relisting]])</f>
        <v>1</v>
      </c>
      <c r="AC59" s="139">
        <f>IF(ISBLANK(Table1368[[#This Row],[Date revente]]),"",IF(ISBLANK(Table1368[[#This Row],[Date revente]]),TODAY(),Table1368[[#This Row],[Date revente]])-Table1368[[#This Row],[Date réception Achat]])</f>
        <v>5</v>
      </c>
      <c r="AD59" s="139">
        <f>IF(ISBLANK(Table1368[[#This Row],[Date revente]]),"",IF(ISBLANK(Table1368[[#This Row],[Date revente]]),TODAY(),Table1368[[#This Row],[Date revente]])-Table1368[[#This Row],[Date achat]])</f>
        <v>22</v>
      </c>
    </row>
    <row r="60" spans="1:30" x14ac:dyDescent="0.25">
      <c r="A60" s="134">
        <v>45991</v>
      </c>
      <c r="B60" s="141" t="s">
        <v>226</v>
      </c>
      <c r="C60" s="134" t="s">
        <v>299</v>
      </c>
      <c r="D60" s="127" t="s">
        <v>157</v>
      </c>
      <c r="E60" s="127"/>
      <c r="F60" s="127"/>
      <c r="G60" s="141" t="s">
        <v>209</v>
      </c>
      <c r="H60" s="127" t="s">
        <v>287</v>
      </c>
      <c r="I60" s="134" t="s">
        <v>160</v>
      </c>
      <c r="J60" s="134" t="s">
        <v>296</v>
      </c>
      <c r="K60" s="135">
        <v>7.5</v>
      </c>
      <c r="L60" s="135">
        <f>Table1368[[#This Row],[Prix total Achat]]-Table1368[[#This Row],[Prix article]]</f>
        <v>1.5</v>
      </c>
      <c r="M60" s="135">
        <v>9</v>
      </c>
      <c r="N60" s="134">
        <v>45999</v>
      </c>
      <c r="O60" s="136">
        <f>(Table1368[[#This Row],[Prix total Achat]]*2)</f>
        <v>18</v>
      </c>
      <c r="P60" s="136">
        <f>Table1368[[#This Row],[Prix Min voulu (x2 )]]*1.2</f>
        <v>21.599999999999998</v>
      </c>
      <c r="Q60" s="134">
        <v>46003</v>
      </c>
      <c r="R60" s="134">
        <v>46024</v>
      </c>
      <c r="S60" s="135">
        <v>12</v>
      </c>
      <c r="T60" s="134" t="s">
        <v>160</v>
      </c>
      <c r="U60" s="134" t="s">
        <v>157</v>
      </c>
      <c r="V60" s="137">
        <f>IF(ISBLANK(Table1368[[#This Row],[Date réception Achat]]),"",IF(ISBLANK(Table1368[[#This Row],[Date revente]]),TODAY(),Table1368[[#This Row],[Date revente]])-Table1368[[#This Row],[Date réception Achat]])</f>
        <v>25</v>
      </c>
      <c r="W6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0" s="135">
        <f>IF(Table1368[[#This Row],[Prix de revente]]="","",Table1368[[#This Row],[Prix de revente]]-Table1368[[#This Row],[Prix total Achat]])</f>
        <v>3</v>
      </c>
      <c r="Y60" s="138">
        <f>IF(Table1368[[#This Row],[Prix de revente]]="","",(Table1368[[#This Row],[Prix de revente]]/Table1368[[#This Row],[Prix total Achat]]))</f>
        <v>1.3333333333333333</v>
      </c>
      <c r="Z60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60" s="139">
        <f>IF(ISBLANK(Table1368[[#This Row],[Date relisting]]),"",IF(ISBLANK(Table1368[[#This Row],[Date relisting]]),TODAY(),Table1368[[#This Row],[Date relisting]])-Table1368[[#This Row],[Date réception Achat]])</f>
        <v>4</v>
      </c>
      <c r="AB60" s="139">
        <f>IF(ISBLANK(Table1368[[#This Row],[Date revente]]),"",IF(ISBLANK(Table1368[[#This Row],[Date revente]]),TODAY(),Table1368[[#This Row],[Date revente]])-Table1368[[#This Row],[Date relisting]])</f>
        <v>21</v>
      </c>
      <c r="AC60" s="139">
        <f>IF(ISBLANK(Table1368[[#This Row],[Date revente]]),"",IF(ISBLANK(Table1368[[#This Row],[Date revente]]),TODAY(),Table1368[[#This Row],[Date revente]])-Table1368[[#This Row],[Date réception Achat]])</f>
        <v>25</v>
      </c>
      <c r="AD60" s="139">
        <f>IF(ISBLANK(Table1368[[#This Row],[Date revente]]),"",IF(ISBLANK(Table1368[[#This Row],[Date revente]]),TODAY(),Table1368[[#This Row],[Date revente]])-Table1368[[#This Row],[Date achat]])</f>
        <v>33</v>
      </c>
    </row>
    <row r="61" spans="1:30" x14ac:dyDescent="0.25">
      <c r="A61" s="134">
        <v>45991</v>
      </c>
      <c r="B61" s="141" t="s">
        <v>226</v>
      </c>
      <c r="C61" s="134" t="s">
        <v>300</v>
      </c>
      <c r="D61" s="127" t="s">
        <v>157</v>
      </c>
      <c r="E61" s="127"/>
      <c r="F61" s="127"/>
      <c r="G61" s="141" t="s">
        <v>209</v>
      </c>
      <c r="H61" s="127" t="s">
        <v>287</v>
      </c>
      <c r="I61" s="134" t="s">
        <v>160</v>
      </c>
      <c r="J61" s="134" t="s">
        <v>296</v>
      </c>
      <c r="K61" s="135">
        <v>7.5</v>
      </c>
      <c r="L61" s="135">
        <f>Table1368[[#This Row],[Prix total Achat]]-Table1368[[#This Row],[Prix article]]</f>
        <v>1.5</v>
      </c>
      <c r="M61" s="135">
        <v>9</v>
      </c>
      <c r="N61" s="134">
        <v>45999</v>
      </c>
      <c r="O61" s="136">
        <f>(Table1368[[#This Row],[Prix total Achat]]*2)</f>
        <v>18</v>
      </c>
      <c r="P61" s="136">
        <f>Table1368[[#This Row],[Prix Min voulu (x2 )]]*1.2</f>
        <v>21.599999999999998</v>
      </c>
      <c r="Q61" s="134">
        <v>46003</v>
      </c>
      <c r="R61" s="134">
        <v>46024</v>
      </c>
      <c r="S61" s="135">
        <v>12</v>
      </c>
      <c r="T61" s="134" t="s">
        <v>160</v>
      </c>
      <c r="U61" s="134" t="s">
        <v>157</v>
      </c>
      <c r="V61" s="137">
        <f>IF(ISBLANK(Table1368[[#This Row],[Date réception Achat]]),"",IF(ISBLANK(Table1368[[#This Row],[Date revente]]),TODAY(),Table1368[[#This Row],[Date revente]])-Table1368[[#This Row],[Date réception Achat]])</f>
        <v>25</v>
      </c>
      <c r="W6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1" s="135">
        <f>IF(Table1368[[#This Row],[Prix de revente]]="","",Table1368[[#This Row],[Prix de revente]]-Table1368[[#This Row],[Prix total Achat]])</f>
        <v>3</v>
      </c>
      <c r="Y61" s="138">
        <f>IF(Table1368[[#This Row],[Prix de revente]]="","",(Table1368[[#This Row],[Prix de revente]]/Table1368[[#This Row],[Prix total Achat]]))</f>
        <v>1.3333333333333333</v>
      </c>
      <c r="Z61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61" s="139">
        <f>IF(ISBLANK(Table1368[[#This Row],[Date relisting]]),"",IF(ISBLANK(Table1368[[#This Row],[Date relisting]]),TODAY(),Table1368[[#This Row],[Date relisting]])-Table1368[[#This Row],[Date réception Achat]])</f>
        <v>4</v>
      </c>
      <c r="AB61" s="139">
        <f>IF(ISBLANK(Table1368[[#This Row],[Date revente]]),"",IF(ISBLANK(Table1368[[#This Row],[Date revente]]),TODAY(),Table1368[[#This Row],[Date revente]])-Table1368[[#This Row],[Date relisting]])</f>
        <v>21</v>
      </c>
      <c r="AC61" s="139">
        <f>IF(ISBLANK(Table1368[[#This Row],[Date revente]]),"",IF(ISBLANK(Table1368[[#This Row],[Date revente]]),TODAY(),Table1368[[#This Row],[Date revente]])-Table1368[[#This Row],[Date réception Achat]])</f>
        <v>25</v>
      </c>
      <c r="AD61" s="139">
        <f>IF(ISBLANK(Table1368[[#This Row],[Date revente]]),"",IF(ISBLANK(Table1368[[#This Row],[Date revente]]),TODAY(),Table1368[[#This Row],[Date revente]])-Table1368[[#This Row],[Date achat]])</f>
        <v>33</v>
      </c>
    </row>
    <row r="62" spans="1:30" x14ac:dyDescent="0.25">
      <c r="A62" s="134">
        <v>45991</v>
      </c>
      <c r="B62" s="141" t="s">
        <v>301</v>
      </c>
      <c r="C62" s="134" t="s">
        <v>302</v>
      </c>
      <c r="D62" s="127" t="s">
        <v>157</v>
      </c>
      <c r="E62" s="127"/>
      <c r="F62" s="127"/>
      <c r="G62" s="134" t="s">
        <v>209</v>
      </c>
      <c r="H62" s="127" t="s">
        <v>164</v>
      </c>
      <c r="I62" s="134" t="s">
        <v>160</v>
      </c>
      <c r="J62" s="134" t="s">
        <v>157</v>
      </c>
      <c r="K62" s="135">
        <v>5</v>
      </c>
      <c r="L62" s="135">
        <f>Table1368[[#This Row],[Prix total Achat]]-Table1368[[#This Row],[Prix article]]</f>
        <v>3.9000000000000004</v>
      </c>
      <c r="M62" s="135">
        <v>8.9</v>
      </c>
      <c r="N62" s="134">
        <v>46006</v>
      </c>
      <c r="O62" s="136">
        <f>(Table1368[[#This Row],[Prix total Achat]]*2)</f>
        <v>17.8</v>
      </c>
      <c r="P62" s="136">
        <f>Table1368[[#This Row],[Prix Min voulu (x2 )]]*1.2</f>
        <v>21.36</v>
      </c>
      <c r="Q62" s="134">
        <v>46007</v>
      </c>
      <c r="R62" s="134">
        <v>46031</v>
      </c>
      <c r="S62" s="135">
        <v>22</v>
      </c>
      <c r="T62" s="134" t="s">
        <v>160</v>
      </c>
      <c r="U62" s="134" t="s">
        <v>157</v>
      </c>
      <c r="V62" s="137">
        <f>IF(ISBLANK(Table1368[[#This Row],[Date réception Achat]]),"",IF(ISBLANK(Table1368[[#This Row],[Date revente]]),TODAY(),Table1368[[#This Row],[Date revente]])-Table1368[[#This Row],[Date réception Achat]])</f>
        <v>25</v>
      </c>
      <c r="W6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2" s="135">
        <f>IF(Table1368[[#This Row],[Prix de revente]]="","",Table1368[[#This Row],[Prix de revente]]-Table1368[[#This Row],[Prix total Achat]])</f>
        <v>13.1</v>
      </c>
      <c r="Y62" s="138">
        <f>IF(Table1368[[#This Row],[Prix de revente]]="","",(Table1368[[#This Row],[Prix de revente]]/Table1368[[#This Row],[Prix total Achat]]))</f>
        <v>2.4719101123595504</v>
      </c>
      <c r="Z62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62" s="139">
        <f>IF(ISBLANK(Table1368[[#This Row],[Date relisting]]),"",IF(ISBLANK(Table1368[[#This Row],[Date relisting]]),TODAY(),Table1368[[#This Row],[Date relisting]])-Table1368[[#This Row],[Date réception Achat]])</f>
        <v>1</v>
      </c>
      <c r="AB62" s="139">
        <f>IF(ISBLANK(Table1368[[#This Row],[Date revente]]),"",IF(ISBLANK(Table1368[[#This Row],[Date revente]]),TODAY(),Table1368[[#This Row],[Date revente]])-Table1368[[#This Row],[Date relisting]])</f>
        <v>24</v>
      </c>
      <c r="AC62" s="139">
        <f>IF(ISBLANK(Table1368[[#This Row],[Date revente]]),"",IF(ISBLANK(Table1368[[#This Row],[Date revente]]),TODAY(),Table1368[[#This Row],[Date revente]])-Table1368[[#This Row],[Date réception Achat]])</f>
        <v>25</v>
      </c>
      <c r="AD62" s="139">
        <f>IF(ISBLANK(Table1368[[#This Row],[Date revente]]),"",IF(ISBLANK(Table1368[[#This Row],[Date revente]]),TODAY(),Table1368[[#This Row],[Date revente]])-Table1368[[#This Row],[Date achat]])</f>
        <v>40</v>
      </c>
    </row>
    <row r="63" spans="1:30" x14ac:dyDescent="0.25">
      <c r="A63" s="134">
        <v>45991</v>
      </c>
      <c r="B63" s="141" t="s">
        <v>226</v>
      </c>
      <c r="C63" s="134" t="s">
        <v>303</v>
      </c>
      <c r="D63" s="127" t="s">
        <v>157</v>
      </c>
      <c r="E63" s="127"/>
      <c r="F63" s="127"/>
      <c r="G63" s="134" t="s">
        <v>228</v>
      </c>
      <c r="H63" s="127" t="s">
        <v>256</v>
      </c>
      <c r="I63" s="134" t="s">
        <v>160</v>
      </c>
      <c r="J63" s="134" t="s">
        <v>157</v>
      </c>
      <c r="K63" s="135">
        <v>12</v>
      </c>
      <c r="L63" s="135">
        <f>Table1368[[#This Row],[Prix total Achat]]-Table1368[[#This Row],[Prix article]]</f>
        <v>4.25</v>
      </c>
      <c r="M63" s="135">
        <v>16.25</v>
      </c>
      <c r="N63" s="134">
        <v>46002</v>
      </c>
      <c r="O63" s="136">
        <f>(Table1368[[#This Row],[Prix total Achat]]*2)</f>
        <v>32.5</v>
      </c>
      <c r="P63" s="136">
        <f>Table1368[[#This Row],[Prix Min voulu (x2 )]]*1.2</f>
        <v>39</v>
      </c>
      <c r="Q63" s="134">
        <v>46003</v>
      </c>
      <c r="R63" s="134">
        <v>46047</v>
      </c>
      <c r="S63" s="135">
        <v>20</v>
      </c>
      <c r="T63" s="134" t="s">
        <v>160</v>
      </c>
      <c r="U63" s="134" t="s">
        <v>157</v>
      </c>
      <c r="V63" s="137">
        <f>IF(ISBLANK(Table1368[[#This Row],[Date réception Achat]]),"",IF(ISBLANK(Table1368[[#This Row],[Date revente]]),TODAY(),Table1368[[#This Row],[Date revente]])-Table1368[[#This Row],[Date réception Achat]])</f>
        <v>45</v>
      </c>
      <c r="W6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3" s="135">
        <f>IF(Table1368[[#This Row],[Prix de revente]]="","",Table1368[[#This Row],[Prix de revente]]-Table1368[[#This Row],[Prix total Achat]])</f>
        <v>3.75</v>
      </c>
      <c r="Y63" s="138">
        <f>IF(Table1368[[#This Row],[Prix de revente]]="","",(Table1368[[#This Row],[Prix de revente]]/Table1368[[#This Row],[Prix total Achat]]))</f>
        <v>1.2307692307692308</v>
      </c>
      <c r="Z63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63" s="139">
        <f>IF(ISBLANK(Table1368[[#This Row],[Date relisting]]),"",IF(ISBLANK(Table1368[[#This Row],[Date relisting]]),TODAY(),Table1368[[#This Row],[Date relisting]])-Table1368[[#This Row],[Date réception Achat]])</f>
        <v>1</v>
      </c>
      <c r="AB63" s="139">
        <f>IF(ISBLANK(Table1368[[#This Row],[Date revente]]),"",IF(ISBLANK(Table1368[[#This Row],[Date revente]]),TODAY(),Table1368[[#This Row],[Date revente]])-Table1368[[#This Row],[Date relisting]])</f>
        <v>44</v>
      </c>
      <c r="AC63" s="139">
        <f>IF(ISBLANK(Table1368[[#This Row],[Date revente]]),"",IF(ISBLANK(Table1368[[#This Row],[Date revente]]),TODAY(),Table1368[[#This Row],[Date revente]])-Table1368[[#This Row],[Date réception Achat]])</f>
        <v>45</v>
      </c>
      <c r="AD63" s="139">
        <f>IF(ISBLANK(Table1368[[#This Row],[Date revente]]),"",IF(ISBLANK(Table1368[[#This Row],[Date revente]]),TODAY(),Table1368[[#This Row],[Date revente]])-Table1368[[#This Row],[Date achat]])</f>
        <v>56</v>
      </c>
    </row>
    <row r="64" spans="1:30" x14ac:dyDescent="0.25">
      <c r="A64" s="134">
        <v>45992</v>
      </c>
      <c r="B64" s="141" t="s">
        <v>257</v>
      </c>
      <c r="C64" s="134" t="s">
        <v>304</v>
      </c>
      <c r="D64" s="127" t="s">
        <v>157</v>
      </c>
      <c r="E64" s="127"/>
      <c r="F64" s="127"/>
      <c r="G64" s="134" t="s">
        <v>245</v>
      </c>
      <c r="H64" s="127" t="s">
        <v>178</v>
      </c>
      <c r="I64" s="134" t="s">
        <v>160</v>
      </c>
      <c r="J64" s="134" t="s">
        <v>157</v>
      </c>
      <c r="K64" s="135">
        <v>3</v>
      </c>
      <c r="L64" s="135">
        <f>Table1368[[#This Row],[Prix total Achat]]-Table1368[[#This Row],[Prix article]]</f>
        <v>4.04</v>
      </c>
      <c r="M64" s="135">
        <v>7.04</v>
      </c>
      <c r="N64" s="134">
        <v>46006</v>
      </c>
      <c r="O64" s="136">
        <f>(Table1368[[#This Row],[Prix total Achat]]*2)</f>
        <v>14.08</v>
      </c>
      <c r="P64" s="136">
        <f>Table1368[[#This Row],[Prix Min voulu (x2 )]]*1.2</f>
        <v>16.896</v>
      </c>
      <c r="Q64" s="134">
        <v>46025</v>
      </c>
      <c r="R64" s="134">
        <v>46044</v>
      </c>
      <c r="S64" s="135">
        <v>32</v>
      </c>
      <c r="T64" s="134" t="s">
        <v>160</v>
      </c>
      <c r="U64" s="134" t="s">
        <v>157</v>
      </c>
      <c r="V64" s="137">
        <f>IF(ISBLANK(Table1368[[#This Row],[Date réception Achat]]),"",IF(ISBLANK(Table1368[[#This Row],[Date revente]]),TODAY(),Table1368[[#This Row],[Date revente]])-Table1368[[#This Row],[Date réception Achat]])</f>
        <v>38</v>
      </c>
      <c r="W6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4" s="135">
        <f>IF(Table1368[[#This Row],[Prix de revente]]="","",Table1368[[#This Row],[Prix de revente]]-Table1368[[#This Row],[Prix total Achat]])</f>
        <v>24.96</v>
      </c>
      <c r="Y64" s="138">
        <f>IF(Table1368[[#This Row],[Prix de revente]]="","",(Table1368[[#This Row],[Prix de revente]]/Table1368[[#This Row],[Prix total Achat]]))</f>
        <v>4.545454545454546</v>
      </c>
      <c r="Z64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64" s="139">
        <f>IF(ISBLANK(Table1368[[#This Row],[Date relisting]]),"",IF(ISBLANK(Table1368[[#This Row],[Date relisting]]),TODAY(),Table1368[[#This Row],[Date relisting]])-Table1368[[#This Row],[Date réception Achat]])</f>
        <v>19</v>
      </c>
      <c r="AB64" s="139">
        <f>IF(ISBLANK(Table1368[[#This Row],[Date revente]]),"",IF(ISBLANK(Table1368[[#This Row],[Date revente]]),TODAY(),Table1368[[#This Row],[Date revente]])-Table1368[[#This Row],[Date relisting]])</f>
        <v>19</v>
      </c>
      <c r="AC64" s="139">
        <f>IF(ISBLANK(Table1368[[#This Row],[Date revente]]),"",IF(ISBLANK(Table1368[[#This Row],[Date revente]]),TODAY(),Table1368[[#This Row],[Date revente]])-Table1368[[#This Row],[Date réception Achat]])</f>
        <v>38</v>
      </c>
      <c r="AD64" s="139">
        <f>IF(ISBLANK(Table1368[[#This Row],[Date revente]]),"",IF(ISBLANK(Table1368[[#This Row],[Date revente]]),TODAY(),Table1368[[#This Row],[Date revente]])-Table1368[[#This Row],[Date achat]])</f>
        <v>52</v>
      </c>
    </row>
    <row r="65" spans="1:30" x14ac:dyDescent="0.25">
      <c r="A65" s="134">
        <v>45992</v>
      </c>
      <c r="B65" s="141" t="s">
        <v>305</v>
      </c>
      <c r="C65" s="134" t="s">
        <v>306</v>
      </c>
      <c r="D65" s="127" t="s">
        <v>157</v>
      </c>
      <c r="E65" s="127"/>
      <c r="F65" s="127"/>
      <c r="G65" s="134" t="s">
        <v>209</v>
      </c>
      <c r="H65" s="127" t="s">
        <v>164</v>
      </c>
      <c r="I65" s="134" t="s">
        <v>160</v>
      </c>
      <c r="J65" s="134" t="s">
        <v>157</v>
      </c>
      <c r="K65" s="135">
        <v>5</v>
      </c>
      <c r="L65" s="135">
        <f>Table1368[[#This Row],[Prix total Achat]]-Table1368[[#This Row],[Prix article]]</f>
        <v>4.9399999999999995</v>
      </c>
      <c r="M65" s="135">
        <v>9.94</v>
      </c>
      <c r="N65" s="134">
        <v>45995</v>
      </c>
      <c r="O65" s="136">
        <f>(Table1368[[#This Row],[Prix total Achat]]*2)</f>
        <v>19.88</v>
      </c>
      <c r="P65" s="136">
        <f>Table1368[[#This Row],[Prix Min voulu (x2 )]]*1.2</f>
        <v>23.855999999999998</v>
      </c>
      <c r="Q65" s="134">
        <v>46007</v>
      </c>
      <c r="R65" s="134">
        <v>46066</v>
      </c>
      <c r="S65" s="135">
        <v>10</v>
      </c>
      <c r="T65" s="134" t="s">
        <v>160</v>
      </c>
      <c r="U65" s="134" t="s">
        <v>157</v>
      </c>
      <c r="V65" s="137">
        <f>IF(ISBLANK(Table1368[[#This Row],[Date réception Achat]]),"",IF(ISBLANK(Table1368[[#This Row],[Date revente]]),TODAY(),Table1368[[#This Row],[Date revente]])-Table1368[[#This Row],[Date réception Achat]])</f>
        <v>71</v>
      </c>
      <c r="W6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5" s="135">
        <f>IF(Table1368[[#This Row],[Prix de revente]]="","",Table1368[[#This Row],[Prix de revente]]-Table1368[[#This Row],[Prix total Achat]])</f>
        <v>0.0600000000000005</v>
      </c>
      <c r="Y65" s="138">
        <f>IF(Table1368[[#This Row],[Prix de revente]]="","",(Table1368[[#This Row],[Prix de revente]]/Table1368[[#This Row],[Prix total Achat]]))</f>
        <v>1.006036217303823</v>
      </c>
      <c r="Z65" s="139">
        <f>IF(ISBLANK(Table1368[[#This Row],[Date réception Achat]]),"",IF(ISBLANK(Table1368[[#This Row],[Date réception Achat]]),TODAY(),Table1368[[#This Row],[Date réception Achat]])-Table1368[[#This Row],[Date achat]])</f>
        <v>3</v>
      </c>
      <c r="AA65" s="139">
        <f>IF(ISBLANK(Table1368[[#This Row],[Date relisting]]),"",IF(ISBLANK(Table1368[[#This Row],[Date relisting]]),TODAY(),Table1368[[#This Row],[Date relisting]])-Table1368[[#This Row],[Date réception Achat]])</f>
        <v>12</v>
      </c>
      <c r="AB65" s="139">
        <f>IF(ISBLANK(Table1368[[#This Row],[Date revente]]),"",IF(ISBLANK(Table1368[[#This Row],[Date revente]]),TODAY(),Table1368[[#This Row],[Date revente]])-Table1368[[#This Row],[Date relisting]])</f>
        <v>59</v>
      </c>
      <c r="AC65" s="139">
        <f>IF(ISBLANK(Table1368[[#This Row],[Date revente]]),"",IF(ISBLANK(Table1368[[#This Row],[Date revente]]),TODAY(),Table1368[[#This Row],[Date revente]])-Table1368[[#This Row],[Date réception Achat]])</f>
        <v>71</v>
      </c>
      <c r="AD65" s="139">
        <f>IF(ISBLANK(Table1368[[#This Row],[Date revente]]),"",IF(ISBLANK(Table1368[[#This Row],[Date revente]]),TODAY(),Table1368[[#This Row],[Date revente]])-Table1368[[#This Row],[Date achat]])</f>
        <v>74</v>
      </c>
    </row>
    <row r="66" spans="1:30" x14ac:dyDescent="0.25">
      <c r="A66" s="134">
        <v>45994</v>
      </c>
      <c r="B66" s="141" t="s">
        <v>203</v>
      </c>
      <c r="C66" s="134" t="s">
        <v>307</v>
      </c>
      <c r="D66" s="127" t="s">
        <v>157</v>
      </c>
      <c r="E66" s="127"/>
      <c r="F66" s="127"/>
      <c r="G66" s="134" t="s">
        <v>308</v>
      </c>
      <c r="H66" s="127" t="s">
        <v>174</v>
      </c>
      <c r="I66" s="134" t="s">
        <v>160</v>
      </c>
      <c r="J66" s="134" t="s">
        <v>157</v>
      </c>
      <c r="K66" s="135">
        <v>12.5</v>
      </c>
      <c r="L66" s="135">
        <f>Table1368[[#This Row],[Prix total Achat]]-Table1368[[#This Row],[Prix article]]</f>
        <v>4.120000000000001</v>
      </c>
      <c r="M66" s="135">
        <v>16.62</v>
      </c>
      <c r="N66" s="134">
        <v>46009</v>
      </c>
      <c r="O66" s="136">
        <f>(Table1368[[#This Row],[Prix total Achat]]*2)</f>
        <v>33.24</v>
      </c>
      <c r="P66" s="136">
        <f>Table1368[[#This Row],[Prix Min voulu (x2 )]]*1.2</f>
        <v>39.888</v>
      </c>
      <c r="Q66" s="134">
        <v>46012</v>
      </c>
      <c r="R66" s="134">
        <v>46013</v>
      </c>
      <c r="S66" s="135">
        <v>75</v>
      </c>
      <c r="T66" s="134" t="s">
        <v>160</v>
      </c>
      <c r="U66" s="134" t="s">
        <v>157</v>
      </c>
      <c r="V66" s="137">
        <f>IF(ISBLANK(Table1368[[#This Row],[Date réception Achat]]),"",IF(ISBLANK(Table1368[[#This Row],[Date revente]]),TODAY(),Table1368[[#This Row],[Date revente]])-Table1368[[#This Row],[Date réception Achat]])</f>
        <v>4</v>
      </c>
      <c r="W6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6" s="135">
        <f>IF(Table1368[[#This Row],[Prix de revente]]="","",Table1368[[#This Row],[Prix de revente]]-Table1368[[#This Row],[Prix total Achat]])</f>
        <v>58.379999999999995</v>
      </c>
      <c r="Y66" s="138">
        <f>IF(Table1368[[#This Row],[Prix de revente]]="","",(Table1368[[#This Row],[Prix de revente]]/Table1368[[#This Row],[Prix total Achat]]))</f>
        <v>4.512635379061371</v>
      </c>
      <c r="Z66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66" s="139">
        <f>IF(ISBLANK(Table1368[[#This Row],[Date relisting]]),"",IF(ISBLANK(Table1368[[#This Row],[Date relisting]]),TODAY(),Table1368[[#This Row],[Date relisting]])-Table1368[[#This Row],[Date réception Achat]])</f>
        <v>3</v>
      </c>
      <c r="AB66" s="139">
        <f>IF(ISBLANK(Table1368[[#This Row],[Date revente]]),"",IF(ISBLANK(Table1368[[#This Row],[Date revente]]),TODAY(),Table1368[[#This Row],[Date revente]])-Table1368[[#This Row],[Date relisting]])</f>
        <v>1</v>
      </c>
      <c r="AC66" s="139">
        <f>IF(ISBLANK(Table1368[[#This Row],[Date revente]]),"",IF(ISBLANK(Table1368[[#This Row],[Date revente]]),TODAY(),Table1368[[#This Row],[Date revente]])-Table1368[[#This Row],[Date réception Achat]])</f>
        <v>4</v>
      </c>
      <c r="AD66" s="139">
        <f>IF(ISBLANK(Table1368[[#This Row],[Date revente]]),"",IF(ISBLANK(Table1368[[#This Row],[Date revente]]),TODAY(),Table1368[[#This Row],[Date revente]])-Table1368[[#This Row],[Date achat]])</f>
        <v>19</v>
      </c>
    </row>
    <row r="67" spans="1:30" x14ac:dyDescent="0.25">
      <c r="A67" s="134">
        <v>45994</v>
      </c>
      <c r="B67" s="141" t="s">
        <v>309</v>
      </c>
      <c r="C67" s="134" t="s">
        <v>310</v>
      </c>
      <c r="D67" s="127" t="s">
        <v>157</v>
      </c>
      <c r="E67" s="127"/>
      <c r="F67" s="127"/>
      <c r="G67" s="134" t="s">
        <v>228</v>
      </c>
      <c r="H67" s="127" t="s">
        <v>256</v>
      </c>
      <c r="I67" s="134" t="s">
        <v>160</v>
      </c>
      <c r="J67" s="134" t="s">
        <v>157</v>
      </c>
      <c r="K67" s="135">
        <v>12</v>
      </c>
      <c r="L67" s="135">
        <f>Table1368[[#This Row],[Prix total Achat]]-Table1368[[#This Row],[Prix article]]</f>
        <v>4.09</v>
      </c>
      <c r="M67" s="135">
        <v>16.09</v>
      </c>
      <c r="N67" s="134">
        <v>46006</v>
      </c>
      <c r="O67" s="136">
        <f>(Table1368[[#This Row],[Prix total Achat]]*2)</f>
        <v>32.18</v>
      </c>
      <c r="P67" s="136">
        <f>Table1368[[#This Row],[Prix Min voulu (x2 )]]*1.2</f>
        <v>38.616</v>
      </c>
      <c r="Q67" s="134">
        <v>46012</v>
      </c>
      <c r="R67" s="134">
        <v>46043</v>
      </c>
      <c r="S67" s="135">
        <v>30</v>
      </c>
      <c r="T67" s="134" t="s">
        <v>160</v>
      </c>
      <c r="U67" s="134" t="s">
        <v>157</v>
      </c>
      <c r="V67" s="137">
        <f>IF(ISBLANK(Table1368[[#This Row],[Date réception Achat]]),"",IF(ISBLANK(Table1368[[#This Row],[Date revente]]),TODAY(),Table1368[[#This Row],[Date revente]])-Table1368[[#This Row],[Date réception Achat]])</f>
        <v>37</v>
      </c>
      <c r="W6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7" s="135">
        <f>IF(Table1368[[#This Row],[Prix de revente]]="","",Table1368[[#This Row],[Prix de revente]]-Table1368[[#This Row],[Prix total Achat]])</f>
        <v>13.91</v>
      </c>
      <c r="Y67" s="138">
        <f>IF(Table1368[[#This Row],[Prix de revente]]="","",(Table1368[[#This Row],[Prix de revente]]/Table1368[[#This Row],[Prix total Achat]]))</f>
        <v>1.8645121193287757</v>
      </c>
      <c r="Z67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67" s="139">
        <f>IF(ISBLANK(Table1368[[#This Row],[Date relisting]]),"",IF(ISBLANK(Table1368[[#This Row],[Date relisting]]),TODAY(),Table1368[[#This Row],[Date relisting]])-Table1368[[#This Row],[Date réception Achat]])</f>
        <v>6</v>
      </c>
      <c r="AB67" s="139">
        <f>IF(ISBLANK(Table1368[[#This Row],[Date revente]]),"",IF(ISBLANK(Table1368[[#This Row],[Date revente]]),TODAY(),Table1368[[#This Row],[Date revente]])-Table1368[[#This Row],[Date relisting]])</f>
        <v>31</v>
      </c>
      <c r="AC67" s="139">
        <f>IF(ISBLANK(Table1368[[#This Row],[Date revente]]),"",IF(ISBLANK(Table1368[[#This Row],[Date revente]]),TODAY(),Table1368[[#This Row],[Date revente]])-Table1368[[#This Row],[Date réception Achat]])</f>
        <v>37</v>
      </c>
      <c r="AD67" s="139">
        <f>IF(ISBLANK(Table1368[[#This Row],[Date revente]]),"",IF(ISBLANK(Table1368[[#This Row],[Date revente]]),TODAY(),Table1368[[#This Row],[Date revente]])-Table1368[[#This Row],[Date achat]])</f>
        <v>49</v>
      </c>
    </row>
    <row r="68" spans="1:30" x14ac:dyDescent="0.25">
      <c r="A68" s="134">
        <v>45995</v>
      </c>
      <c r="B68" s="141" t="s">
        <v>311</v>
      </c>
      <c r="C68" s="134" t="s">
        <v>312</v>
      </c>
      <c r="D68" s="127" t="s">
        <v>157</v>
      </c>
      <c r="E68" s="127"/>
      <c r="F68" s="127"/>
      <c r="G68" s="134" t="s">
        <v>209</v>
      </c>
      <c r="H68" s="127" t="s">
        <v>174</v>
      </c>
      <c r="I68" s="134" t="s">
        <v>160</v>
      </c>
      <c r="J68" s="134" t="s">
        <v>157</v>
      </c>
      <c r="K68" s="135">
        <v>6</v>
      </c>
      <c r="L68" s="135">
        <f>Table1368[[#This Row],[Prix total Achat]]-Table1368[[#This Row],[Prix article]]</f>
        <v>3.880000000000001</v>
      </c>
      <c r="M68" s="135">
        <v>9.88</v>
      </c>
      <c r="N68" s="134">
        <v>46003</v>
      </c>
      <c r="O68" s="136">
        <f>(Table1368[[#This Row],[Prix total Achat]]*2)</f>
        <v>19.76</v>
      </c>
      <c r="P68" s="136">
        <f>Table1368[[#This Row],[Prix Min voulu (x2 )]]*1.2</f>
        <v>23.712</v>
      </c>
      <c r="Q68" s="134">
        <v>46012</v>
      </c>
      <c r="R68" s="134">
        <v>46044</v>
      </c>
      <c r="S68" s="135">
        <v>28</v>
      </c>
      <c r="T68" s="134" t="s">
        <v>160</v>
      </c>
      <c r="U68" s="134" t="s">
        <v>157</v>
      </c>
      <c r="V68" s="137">
        <f>IF(ISBLANK(Table1368[[#This Row],[Date réception Achat]]),"",IF(ISBLANK(Table1368[[#This Row],[Date revente]]),TODAY(),Table1368[[#This Row],[Date revente]])-Table1368[[#This Row],[Date réception Achat]])</f>
        <v>41</v>
      </c>
      <c r="W6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8" s="135">
        <f>IF(Table1368[[#This Row],[Prix de revente]]="","",Table1368[[#This Row],[Prix de revente]]-Table1368[[#This Row],[Prix total Achat]])</f>
        <v>18.119999999999997</v>
      </c>
      <c r="Y68" s="138">
        <f>IF(Table1368[[#This Row],[Prix de revente]]="","",(Table1368[[#This Row],[Prix de revente]]/Table1368[[#This Row],[Prix total Achat]]))</f>
        <v>2.8340080971659916</v>
      </c>
      <c r="Z68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68" s="139">
        <f>IF(ISBLANK(Table1368[[#This Row],[Date relisting]]),"",IF(ISBLANK(Table1368[[#This Row],[Date relisting]]),TODAY(),Table1368[[#This Row],[Date relisting]])-Table1368[[#This Row],[Date réception Achat]])</f>
        <v>9</v>
      </c>
      <c r="AB68" s="139">
        <f>IF(ISBLANK(Table1368[[#This Row],[Date revente]]),"",IF(ISBLANK(Table1368[[#This Row],[Date revente]]),TODAY(),Table1368[[#This Row],[Date revente]])-Table1368[[#This Row],[Date relisting]])</f>
        <v>32</v>
      </c>
      <c r="AC68" s="139">
        <f>IF(ISBLANK(Table1368[[#This Row],[Date revente]]),"",IF(ISBLANK(Table1368[[#This Row],[Date revente]]),TODAY(),Table1368[[#This Row],[Date revente]])-Table1368[[#This Row],[Date réception Achat]])</f>
        <v>41</v>
      </c>
      <c r="AD68" s="139">
        <f>IF(ISBLANK(Table1368[[#This Row],[Date revente]]),"",IF(ISBLANK(Table1368[[#This Row],[Date revente]]),TODAY(),Table1368[[#This Row],[Date revente]])-Table1368[[#This Row],[Date achat]])</f>
        <v>49</v>
      </c>
    </row>
    <row r="69" spans="1:30" x14ac:dyDescent="0.25">
      <c r="A69" s="134">
        <v>45996</v>
      </c>
      <c r="B69" s="141" t="s">
        <v>313</v>
      </c>
      <c r="C69" s="134" t="s">
        <v>314</v>
      </c>
      <c r="D69" s="127" t="s">
        <v>157</v>
      </c>
      <c r="E69" s="127"/>
      <c r="F69" s="127"/>
      <c r="G69" s="134" t="s">
        <v>315</v>
      </c>
      <c r="H69" s="127" t="s">
        <v>178</v>
      </c>
      <c r="I69" s="134" t="s">
        <v>165</v>
      </c>
      <c r="J69" s="134" t="s">
        <v>157</v>
      </c>
      <c r="K69" s="135">
        <v>55.67999999999999</v>
      </c>
      <c r="L69" s="135">
        <f>Table1368[[#This Row],[Prix total Achat]]-Table1368[[#This Row],[Prix article]]</f>
        <v>26.968965714285716</v>
      </c>
      <c r="M69" s="135">
        <v>82.64896571428571</v>
      </c>
      <c r="N69" s="134">
        <v>46010</v>
      </c>
      <c r="O69" s="136">
        <f>(Table1368[[#This Row],[Prix total Achat]]*2)</f>
        <v>165.29793142857142</v>
      </c>
      <c r="P69" s="136">
        <f>Table1368[[#This Row],[Prix Min voulu (x2 )]]*1.2</f>
        <v>198.3575177142857</v>
      </c>
      <c r="Q69" s="134">
        <v>46012</v>
      </c>
      <c r="R69" s="134">
        <v>46044</v>
      </c>
      <c r="S69" s="135">
        <v>150</v>
      </c>
      <c r="T69" s="134" t="s">
        <v>160</v>
      </c>
      <c r="U69" s="134" t="s">
        <v>157</v>
      </c>
      <c r="V69" s="137">
        <f>IF(ISBLANK(Table1368[[#This Row],[Date réception Achat]]),"",IF(ISBLANK(Table1368[[#This Row],[Date revente]]),TODAY(),Table1368[[#This Row],[Date revente]])-Table1368[[#This Row],[Date réception Achat]])</f>
        <v>34</v>
      </c>
      <c r="W6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69" s="135">
        <f>IF(Table1368[[#This Row],[Prix de revente]]="","",Table1368[[#This Row],[Prix de revente]]-Table1368[[#This Row],[Prix total Achat]])</f>
        <v>67.35103428571429</v>
      </c>
      <c r="Y69" s="138">
        <f>IF(Table1368[[#This Row],[Prix de revente]]="","",(Table1368[[#This Row],[Prix de revente]]/Table1368[[#This Row],[Prix total Achat]]))</f>
        <v>1.8149047444652147</v>
      </c>
      <c r="Z69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69" s="139">
        <f>IF(ISBLANK(Table1368[[#This Row],[Date relisting]]),"",IF(ISBLANK(Table1368[[#This Row],[Date relisting]]),TODAY(),Table1368[[#This Row],[Date relisting]])-Table1368[[#This Row],[Date réception Achat]])</f>
        <v>2</v>
      </c>
      <c r="AB69" s="139">
        <f>IF(ISBLANK(Table1368[[#This Row],[Date revente]]),"",IF(ISBLANK(Table1368[[#This Row],[Date revente]]),TODAY(),Table1368[[#This Row],[Date revente]])-Table1368[[#This Row],[Date relisting]])</f>
        <v>32</v>
      </c>
      <c r="AC69" s="139">
        <f>IF(ISBLANK(Table1368[[#This Row],[Date revente]]),"",IF(ISBLANK(Table1368[[#This Row],[Date revente]]),TODAY(),Table1368[[#This Row],[Date revente]])-Table1368[[#This Row],[Date réception Achat]])</f>
        <v>34</v>
      </c>
      <c r="AD69" s="139">
        <f>IF(ISBLANK(Table1368[[#This Row],[Date revente]]),"",IF(ISBLANK(Table1368[[#This Row],[Date revente]]),TODAY(),Table1368[[#This Row],[Date revente]])-Table1368[[#This Row],[Date achat]])</f>
        <v>48</v>
      </c>
    </row>
    <row r="70" spans="1:30" x14ac:dyDescent="0.25">
      <c r="A70" s="134">
        <v>45996</v>
      </c>
      <c r="B70" s="141" t="s">
        <v>316</v>
      </c>
      <c r="C70" s="134" t="s">
        <v>317</v>
      </c>
      <c r="D70" s="127" t="s">
        <v>157</v>
      </c>
      <c r="E70" s="127"/>
      <c r="F70" s="127"/>
      <c r="G70" s="134" t="s">
        <v>163</v>
      </c>
      <c r="H70" s="127" t="s">
        <v>164</v>
      </c>
      <c r="I70" s="134" t="s">
        <v>165</v>
      </c>
      <c r="J70" s="134" t="s">
        <v>157</v>
      </c>
      <c r="K70" s="135">
        <v>34.22</v>
      </c>
      <c r="L70" s="135">
        <f>Table1368[[#This Row],[Prix total Achat]]-Table1368[[#This Row],[Prix article]]</f>
        <v>26.96896571428571</v>
      </c>
      <c r="M70" s="135">
        <v>61.18896571428571</v>
      </c>
      <c r="N70" s="134">
        <v>46010</v>
      </c>
      <c r="O70" s="136">
        <f>(Table1368[[#This Row],[Prix total Achat]]*2)</f>
        <v>122.37793142857142</v>
      </c>
      <c r="P70" s="136">
        <f>Table1368[[#This Row],[Prix Min voulu (x2 )]]*1.2</f>
        <v>146.8535177142857</v>
      </c>
      <c r="Q70" s="134">
        <v>46012</v>
      </c>
      <c r="R70" s="134">
        <v>46045</v>
      </c>
      <c r="S70" s="135">
        <v>100</v>
      </c>
      <c r="T70" s="134" t="s">
        <v>160</v>
      </c>
      <c r="U70" s="134" t="s">
        <v>157</v>
      </c>
      <c r="V70" s="137">
        <f>IF(ISBLANK(Table1368[[#This Row],[Date réception Achat]]),"",IF(ISBLANK(Table1368[[#This Row],[Date revente]]),TODAY(),Table1368[[#This Row],[Date revente]])-Table1368[[#This Row],[Date réception Achat]])</f>
        <v>35</v>
      </c>
      <c r="W7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0" s="135">
        <f>IF(Table1368[[#This Row],[Prix de revente]]="","",Table1368[[#This Row],[Prix de revente]]-Table1368[[#This Row],[Prix total Achat]])</f>
        <v>38.81103428571429</v>
      </c>
      <c r="Y70" s="138">
        <f>IF(Table1368[[#This Row],[Prix de revente]]="","",(Table1368[[#This Row],[Prix de revente]]/Table1368[[#This Row],[Prix total Achat]]))</f>
        <v>1.6342815870910061</v>
      </c>
      <c r="Z70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70" s="139">
        <f>IF(ISBLANK(Table1368[[#This Row],[Date relisting]]),"",IF(ISBLANK(Table1368[[#This Row],[Date relisting]]),TODAY(),Table1368[[#This Row],[Date relisting]])-Table1368[[#This Row],[Date réception Achat]])</f>
        <v>2</v>
      </c>
      <c r="AB70" s="139">
        <f>IF(ISBLANK(Table1368[[#This Row],[Date revente]]),"",IF(ISBLANK(Table1368[[#This Row],[Date revente]]),TODAY(),Table1368[[#This Row],[Date revente]])-Table1368[[#This Row],[Date relisting]])</f>
        <v>33</v>
      </c>
      <c r="AC70" s="139">
        <f>IF(ISBLANK(Table1368[[#This Row],[Date revente]]),"",IF(ISBLANK(Table1368[[#This Row],[Date revente]]),TODAY(),Table1368[[#This Row],[Date revente]])-Table1368[[#This Row],[Date réception Achat]])</f>
        <v>35</v>
      </c>
      <c r="AD70" s="139">
        <f>IF(ISBLANK(Table1368[[#This Row],[Date revente]]),"",IF(ISBLANK(Table1368[[#This Row],[Date revente]]),TODAY(),Table1368[[#This Row],[Date revente]])-Table1368[[#This Row],[Date achat]])</f>
        <v>49</v>
      </c>
    </row>
    <row r="71" spans="1:30" x14ac:dyDescent="0.25">
      <c r="A71" s="134">
        <v>45996</v>
      </c>
      <c r="B71" s="141" t="s">
        <v>318</v>
      </c>
      <c r="C71" s="134" t="s">
        <v>319</v>
      </c>
      <c r="D71" s="127" t="s">
        <v>157</v>
      </c>
      <c r="E71" s="127"/>
      <c r="F71" s="127"/>
      <c r="G71" s="134" t="s">
        <v>173</v>
      </c>
      <c r="H71" s="127" t="s">
        <v>194</v>
      </c>
      <c r="I71" s="134" t="s">
        <v>165</v>
      </c>
      <c r="J71" s="134" t="s">
        <v>157</v>
      </c>
      <c r="K71" s="135">
        <v>35.263999999999996</v>
      </c>
      <c r="L71" s="135">
        <f>Table1368[[#This Row],[Prix total Achat]]-Table1368[[#This Row],[Prix article]]</f>
        <v>26.96896571428571</v>
      </c>
      <c r="M71" s="135">
        <v>62.232965714285704</v>
      </c>
      <c r="N71" s="134">
        <v>46010</v>
      </c>
      <c r="O71" s="136">
        <f>(Table1368[[#This Row],[Prix total Achat]]*2)</f>
        <v>124.46593142857141</v>
      </c>
      <c r="P71" s="136">
        <f>Table1368[[#This Row],[Prix Min voulu (x2 )]]*1.2</f>
        <v>149.35911771428567</v>
      </c>
      <c r="Q71" s="134">
        <v>46012</v>
      </c>
      <c r="R71" s="134">
        <v>46057</v>
      </c>
      <c r="S71" s="135">
        <v>120</v>
      </c>
      <c r="T71" s="134" t="s">
        <v>160</v>
      </c>
      <c r="U71" s="134" t="s">
        <v>157</v>
      </c>
      <c r="V71" s="137">
        <f>IF(ISBLANK(Table1368[[#This Row],[Date réception Achat]]),"",IF(ISBLANK(Table1368[[#This Row],[Date revente]]),TODAY(),Table1368[[#This Row],[Date revente]])-Table1368[[#This Row],[Date réception Achat]])</f>
        <v>47</v>
      </c>
      <c r="W7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1" s="135">
        <f>IF(Table1368[[#This Row],[Prix de revente]]="","",Table1368[[#This Row],[Prix de revente]]-Table1368[[#This Row],[Prix total Achat]])</f>
        <v>57.767034285714296</v>
      </c>
      <c r="Y71" s="138">
        <f>IF(Table1368[[#This Row],[Prix de revente]]="","",(Table1368[[#This Row],[Prix de revente]]/Table1368[[#This Row],[Prix total Achat]]))</f>
        <v>1.9282384926170046</v>
      </c>
      <c r="Z71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71" s="139">
        <f>IF(ISBLANK(Table1368[[#This Row],[Date relisting]]),"",IF(ISBLANK(Table1368[[#This Row],[Date relisting]]),TODAY(),Table1368[[#This Row],[Date relisting]])-Table1368[[#This Row],[Date réception Achat]])</f>
        <v>2</v>
      </c>
      <c r="AB71" s="139">
        <f>IF(ISBLANK(Table1368[[#This Row],[Date revente]]),"",IF(ISBLANK(Table1368[[#This Row],[Date revente]]),TODAY(),Table1368[[#This Row],[Date revente]])-Table1368[[#This Row],[Date relisting]])</f>
        <v>45</v>
      </c>
      <c r="AC71" s="139">
        <f>IF(ISBLANK(Table1368[[#This Row],[Date revente]]),"",IF(ISBLANK(Table1368[[#This Row],[Date revente]]),TODAY(),Table1368[[#This Row],[Date revente]])-Table1368[[#This Row],[Date réception Achat]])</f>
        <v>47</v>
      </c>
      <c r="AD71" s="139">
        <f>IF(ISBLANK(Table1368[[#This Row],[Date revente]]),"",IF(ISBLANK(Table1368[[#This Row],[Date revente]]),TODAY(),Table1368[[#This Row],[Date revente]])-Table1368[[#This Row],[Date achat]])</f>
        <v>61</v>
      </c>
    </row>
    <row r="72" spans="1:30" x14ac:dyDescent="0.25">
      <c r="A72" s="134">
        <v>45996</v>
      </c>
      <c r="B72" s="141" t="s">
        <v>320</v>
      </c>
      <c r="C72" s="134" t="s">
        <v>321</v>
      </c>
      <c r="D72" s="127" t="s">
        <v>157</v>
      </c>
      <c r="E72" s="127"/>
      <c r="F72" s="127"/>
      <c r="G72" s="134" t="s">
        <v>322</v>
      </c>
      <c r="H72" s="127" t="s">
        <v>178</v>
      </c>
      <c r="I72" s="134" t="s">
        <v>165</v>
      </c>
      <c r="J72" s="134" t="s">
        <v>157</v>
      </c>
      <c r="K72" s="135">
        <v>69.02</v>
      </c>
      <c r="L72" s="135">
        <f>Table1368[[#This Row],[Prix total Achat]]-Table1368[[#This Row],[Prix article]]</f>
        <v>23.00857142857143</v>
      </c>
      <c r="M72" s="135">
        <v>92.02857142857142</v>
      </c>
      <c r="N72" s="134">
        <v>46018</v>
      </c>
      <c r="O72" s="136">
        <f>(Table1368[[#This Row],[Prix total Achat]]*2)</f>
        <v>184.05714285714285</v>
      </c>
      <c r="P72" s="136">
        <f>Table1368[[#This Row],[Prix Min voulu (x2 )]]*1.2</f>
        <v>220.8685714285714</v>
      </c>
      <c r="Q72" s="134">
        <v>46037</v>
      </c>
      <c r="R72" s="134">
        <v>46059</v>
      </c>
      <c r="S72" s="135">
        <v>150</v>
      </c>
      <c r="T72" s="134" t="s">
        <v>160</v>
      </c>
      <c r="U72" s="134" t="s">
        <v>157</v>
      </c>
      <c r="V72" s="137">
        <f>IF(ISBLANK(Table1368[[#This Row],[Date réception Achat]]),"",IF(ISBLANK(Table1368[[#This Row],[Date revente]]),TODAY(),Table1368[[#This Row],[Date revente]])-Table1368[[#This Row],[Date réception Achat]])</f>
        <v>41</v>
      </c>
      <c r="W7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2" s="135">
        <f>IF(Table1368[[#This Row],[Prix de revente]]="","",Table1368[[#This Row],[Prix de revente]]-Table1368[[#This Row],[Prix total Achat]])</f>
        <v>57.971428571428575</v>
      </c>
      <c r="Y72" s="138">
        <f>IF(Table1368[[#This Row],[Prix de revente]]="","",(Table1368[[#This Row],[Prix de revente]]/Table1368[[#This Row],[Prix total Achat]]))</f>
        <v>1.6299285936044707</v>
      </c>
      <c r="Z72" s="139">
        <f>IF(ISBLANK(Table1368[[#This Row],[Date réception Achat]]),"",IF(ISBLANK(Table1368[[#This Row],[Date réception Achat]]),TODAY(),Table1368[[#This Row],[Date réception Achat]])-Table1368[[#This Row],[Date achat]])</f>
        <v>22</v>
      </c>
      <c r="AA72" s="139">
        <f>IF(ISBLANK(Table1368[[#This Row],[Date relisting]]),"",IF(ISBLANK(Table1368[[#This Row],[Date relisting]]),TODAY(),Table1368[[#This Row],[Date relisting]])-Table1368[[#This Row],[Date réception Achat]])</f>
        <v>19</v>
      </c>
      <c r="AB72" s="139">
        <f>IF(ISBLANK(Table1368[[#This Row],[Date revente]]),"",IF(ISBLANK(Table1368[[#This Row],[Date revente]]),TODAY(),Table1368[[#This Row],[Date revente]])-Table1368[[#This Row],[Date relisting]])</f>
        <v>22</v>
      </c>
      <c r="AC72" s="139">
        <f>IF(ISBLANK(Table1368[[#This Row],[Date revente]]),"",IF(ISBLANK(Table1368[[#This Row],[Date revente]]),TODAY(),Table1368[[#This Row],[Date revente]])-Table1368[[#This Row],[Date réception Achat]])</f>
        <v>41</v>
      </c>
      <c r="AD72" s="139">
        <f>IF(ISBLANK(Table1368[[#This Row],[Date revente]]),"",IF(ISBLANK(Table1368[[#This Row],[Date revente]]),TODAY(),Table1368[[#This Row],[Date revente]])-Table1368[[#This Row],[Date achat]])</f>
        <v>63</v>
      </c>
    </row>
    <row r="73" spans="1:30" x14ac:dyDescent="0.25">
      <c r="A73" s="134">
        <v>45996</v>
      </c>
      <c r="B73" s="143" t="s">
        <v>323</v>
      </c>
      <c r="C73" s="134" t="s">
        <v>324</v>
      </c>
      <c r="D73" s="127" t="s">
        <v>157</v>
      </c>
      <c r="E73" s="127"/>
      <c r="F73" s="127"/>
      <c r="G73" s="134" t="s">
        <v>177</v>
      </c>
      <c r="H73" s="127" t="s">
        <v>178</v>
      </c>
      <c r="I73" s="134" t="s">
        <v>165</v>
      </c>
      <c r="J73" s="134" t="s">
        <v>157</v>
      </c>
      <c r="K73" s="135">
        <v>27.839999999999996</v>
      </c>
      <c r="L73" s="135">
        <f>Table1368[[#This Row],[Prix total Achat]]-Table1368[[#This Row],[Prix article]]</f>
        <v>23.00857142857143</v>
      </c>
      <c r="M73" s="135">
        <v>50.848571428571425</v>
      </c>
      <c r="N73" s="134">
        <v>46018</v>
      </c>
      <c r="O73" s="136">
        <f>(Table1368[[#This Row],[Prix total Achat]]*2)</f>
        <v>101.69714285714285</v>
      </c>
      <c r="P73" s="136">
        <f>Table1368[[#This Row],[Prix Min voulu (x2 )]]*1.2</f>
        <v>122.03657142857142</v>
      </c>
      <c r="Q73" s="134">
        <v>46037</v>
      </c>
      <c r="R73" s="134">
        <v>46066</v>
      </c>
      <c r="S73" s="135">
        <v>67</v>
      </c>
      <c r="T73" s="134" t="s">
        <v>218</v>
      </c>
      <c r="U73" s="134" t="s">
        <v>157</v>
      </c>
      <c r="V73" s="137">
        <f>IF(ISBLANK(Table1368[[#This Row],[Date réception Achat]]),"",IF(ISBLANK(Table1368[[#This Row],[Date revente]]),TODAY(),Table1368[[#This Row],[Date revente]])-Table1368[[#This Row],[Date réception Achat]])</f>
        <v>48</v>
      </c>
      <c r="W7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3" s="135">
        <f>IF(Table1368[[#This Row],[Prix de revente]]="","",Table1368[[#This Row],[Prix de revente]]-Table1368[[#This Row],[Prix total Achat]])</f>
        <v>16.151428571428575</v>
      </c>
      <c r="Y73" s="138">
        <f>IF(Table1368[[#This Row],[Prix de revente]]="","",(Table1368[[#This Row],[Prix de revente]]/Table1368[[#This Row],[Prix total Achat]]))</f>
        <v>1.3176378041242907</v>
      </c>
      <c r="Z73" s="139">
        <f>IF(ISBLANK(Table1368[[#This Row],[Date réception Achat]]),"",IF(ISBLANK(Table1368[[#This Row],[Date réception Achat]]),TODAY(),Table1368[[#This Row],[Date réception Achat]])-Table1368[[#This Row],[Date achat]])</f>
        <v>22</v>
      </c>
      <c r="AA73" s="139">
        <f>IF(ISBLANK(Table1368[[#This Row],[Date relisting]]),"",IF(ISBLANK(Table1368[[#This Row],[Date relisting]]),TODAY(),Table1368[[#This Row],[Date relisting]])-Table1368[[#This Row],[Date réception Achat]])</f>
        <v>19</v>
      </c>
      <c r="AB73" s="139">
        <f>IF(ISBLANK(Table1368[[#This Row],[Date revente]]),"",IF(ISBLANK(Table1368[[#This Row],[Date revente]]),TODAY(),Table1368[[#This Row],[Date revente]])-Table1368[[#This Row],[Date relisting]])</f>
        <v>29</v>
      </c>
      <c r="AC73" s="139">
        <f>IF(ISBLANK(Table1368[[#This Row],[Date revente]]),"",IF(ISBLANK(Table1368[[#This Row],[Date revente]]),TODAY(),Table1368[[#This Row],[Date revente]])-Table1368[[#This Row],[Date réception Achat]])</f>
        <v>48</v>
      </c>
      <c r="AD73" s="139">
        <f>IF(ISBLANK(Table1368[[#This Row],[Date revente]]),"",IF(ISBLANK(Table1368[[#This Row],[Date revente]]),TODAY(),Table1368[[#This Row],[Date revente]])-Table1368[[#This Row],[Date achat]])</f>
        <v>70</v>
      </c>
    </row>
    <row r="74" spans="1:30" x14ac:dyDescent="0.25">
      <c r="A74" s="134">
        <v>45996</v>
      </c>
      <c r="B74" s="141" t="s">
        <v>325</v>
      </c>
      <c r="C74" s="134" t="s">
        <v>326</v>
      </c>
      <c r="D74" s="127" t="s">
        <v>157</v>
      </c>
      <c r="E74" s="127"/>
      <c r="F74" s="127"/>
      <c r="G74" s="134" t="s">
        <v>163</v>
      </c>
      <c r="H74" s="127" t="s">
        <v>178</v>
      </c>
      <c r="I74" s="134" t="s">
        <v>165</v>
      </c>
      <c r="J74" s="134" t="s">
        <v>157</v>
      </c>
      <c r="K74" s="135">
        <v>16.124</v>
      </c>
      <c r="L74" s="135">
        <f>Table1368[[#This Row],[Prix total Achat]]-Table1368[[#This Row],[Prix article]]</f>
        <v>26.968965714285712</v>
      </c>
      <c r="M74" s="135">
        <v>43.09296571428571</v>
      </c>
      <c r="N74" s="134">
        <v>46010</v>
      </c>
      <c r="O74" s="136">
        <f>(Table1368[[#This Row],[Prix total Achat]]*2)</f>
        <v>86.18593142857142</v>
      </c>
      <c r="P74" s="136">
        <f>Table1368[[#This Row],[Prix Min voulu (x2 )]]*1.2</f>
        <v>103.42311771428571</v>
      </c>
      <c r="Q74" s="134">
        <v>46012</v>
      </c>
      <c r="R74" s="134">
        <v>46186</v>
      </c>
      <c r="S74" s="135">
        <v>55</v>
      </c>
      <c r="T74" s="134" t="s">
        <v>160</v>
      </c>
      <c r="U74" s="134" t="s">
        <v>157</v>
      </c>
      <c r="V74" s="137">
        <f>IF(ISBLANK(Table1368[[#This Row],[Date réception Achat]]),"",IF(ISBLANK(Table1368[[#This Row],[Date revente]]),TODAY(),Table1368[[#This Row],[Date revente]])-Table1368[[#This Row],[Date réception Achat]])</f>
        <v>176</v>
      </c>
      <c r="W7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4" s="135">
        <f>IF(Table1368[[#This Row],[Prix de revente]]="","",Table1368[[#This Row],[Prix de revente]]-Table1368[[#This Row],[Prix total Achat]])</f>
        <v>11.907034285714289</v>
      </c>
      <c r="Y74" s="138">
        <f>IF(Table1368[[#This Row],[Prix de revente]]="","",(Table1368[[#This Row],[Prix de revente]]/Table1368[[#This Row],[Prix total Achat]]))</f>
        <v>1.2763103928529802</v>
      </c>
      <c r="Z74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74" s="139">
        <f>IF(ISBLANK(Table1368[[#This Row],[Date relisting]]),"",IF(ISBLANK(Table1368[[#This Row],[Date relisting]]),TODAY(),Table1368[[#This Row],[Date relisting]])-Table1368[[#This Row],[Date réception Achat]])</f>
        <v>2</v>
      </c>
      <c r="AB74" s="139">
        <f>IF(ISBLANK(Table1368[[#This Row],[Date revente]]),"",IF(ISBLANK(Table1368[[#This Row],[Date revente]]),TODAY(),Table1368[[#This Row],[Date revente]])-Table1368[[#This Row],[Date relisting]])</f>
        <v>174</v>
      </c>
      <c r="AC74" s="139">
        <f>IF(ISBLANK(Table1368[[#This Row],[Date revente]]),"",IF(ISBLANK(Table1368[[#This Row],[Date revente]]),TODAY(),Table1368[[#This Row],[Date revente]])-Table1368[[#This Row],[Date réception Achat]])</f>
        <v>176</v>
      </c>
      <c r="AD74" s="139">
        <f>IF(ISBLANK(Table1368[[#This Row],[Date revente]]),"",IF(ISBLANK(Table1368[[#This Row],[Date revente]]),TODAY(),Table1368[[#This Row],[Date revente]])-Table1368[[#This Row],[Date achat]])</f>
        <v>190</v>
      </c>
    </row>
    <row r="75" spans="1:30" x14ac:dyDescent="0.25">
      <c r="A75" s="134">
        <v>45996</v>
      </c>
      <c r="B75" s="141" t="s">
        <v>327</v>
      </c>
      <c r="C75" s="134" t="s">
        <v>328</v>
      </c>
      <c r="D75" s="127" t="s">
        <v>157</v>
      </c>
      <c r="E75" s="127"/>
      <c r="F75" s="127"/>
      <c r="G75" s="134" t="s">
        <v>329</v>
      </c>
      <c r="H75" s="127" t="s">
        <v>330</v>
      </c>
      <c r="I75" s="134" t="s">
        <v>165</v>
      </c>
      <c r="J75" s="134" t="s">
        <v>157</v>
      </c>
      <c r="K75" s="135">
        <v>49.3</v>
      </c>
      <c r="L75" s="135">
        <f>Table1368[[#This Row],[Prix total Achat]]-Table1368[[#This Row],[Prix article]]</f>
        <v>23.00857142857143</v>
      </c>
      <c r="M75" s="135">
        <v>72.30857142857143</v>
      </c>
      <c r="N75" s="134">
        <v>46018</v>
      </c>
      <c r="O75" s="136">
        <f>(Table1368[[#This Row],[Prix total Achat]]*2)</f>
        <v>144.61714285714285</v>
      </c>
      <c r="P75" s="136">
        <f>Table1368[[#This Row],[Prix Min voulu (x2 )]]*1.2</f>
        <v>173.5405714285714</v>
      </c>
      <c r="Q75" s="134">
        <v>46037</v>
      </c>
      <c r="R75" s="134">
        <v>46081</v>
      </c>
      <c r="S75" s="135">
        <v>142.8</v>
      </c>
      <c r="T75" s="134" t="s">
        <v>160</v>
      </c>
      <c r="U75" s="134" t="s">
        <v>157</v>
      </c>
      <c r="V75" s="137">
        <f>IF(ISBLANK(Table1368[[#This Row],[Date réception Achat]]),"",IF(ISBLANK(Table1368[[#This Row],[Date revente]]),TODAY(),Table1368[[#This Row],[Date revente]])-Table1368[[#This Row],[Date réception Achat]])</f>
        <v>63</v>
      </c>
      <c r="W7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5" s="135">
        <f>IF(Table1368[[#This Row],[Prix de revente]]="","",Table1368[[#This Row],[Prix de revente]]-Table1368[[#This Row],[Prix total Achat]])</f>
        <v>70.49142857142859</v>
      </c>
      <c r="Y75" s="138">
        <f>IF(Table1368[[#This Row],[Prix de revente]]="","",(Table1368[[#This Row],[Prix de revente]]/Table1368[[#This Row],[Prix total Achat]]))</f>
        <v>1.974869606448554</v>
      </c>
      <c r="Z75" s="139">
        <f>IF(ISBLANK(Table1368[[#This Row],[Date réception Achat]]),"",IF(ISBLANK(Table1368[[#This Row],[Date réception Achat]]),TODAY(),Table1368[[#This Row],[Date réception Achat]])-Table1368[[#This Row],[Date achat]])</f>
        <v>22</v>
      </c>
      <c r="AA75" s="139">
        <f>IF(ISBLANK(Table1368[[#This Row],[Date relisting]]),"",IF(ISBLANK(Table1368[[#This Row],[Date relisting]]),TODAY(),Table1368[[#This Row],[Date relisting]])-Table1368[[#This Row],[Date réception Achat]])</f>
        <v>19</v>
      </c>
      <c r="AB75" s="139">
        <f>IF(ISBLANK(Table1368[[#This Row],[Date revente]]),"",IF(ISBLANK(Table1368[[#This Row],[Date revente]]),TODAY(),Table1368[[#This Row],[Date revente]])-Table1368[[#This Row],[Date relisting]])</f>
        <v>44</v>
      </c>
      <c r="AC75" s="139">
        <f>IF(ISBLANK(Table1368[[#This Row],[Date revente]]),"",IF(ISBLANK(Table1368[[#This Row],[Date revente]]),TODAY(),Table1368[[#This Row],[Date revente]])-Table1368[[#This Row],[Date réception Achat]])</f>
        <v>63</v>
      </c>
      <c r="AD75" s="139">
        <f>IF(ISBLANK(Table1368[[#This Row],[Date revente]]),"",IF(ISBLANK(Table1368[[#This Row],[Date revente]]),TODAY(),Table1368[[#This Row],[Date revente]])-Table1368[[#This Row],[Date achat]])</f>
        <v>85</v>
      </c>
    </row>
    <row r="76" spans="1:30" x14ac:dyDescent="0.25">
      <c r="A76" s="134">
        <v>45999</v>
      </c>
      <c r="B76" s="141" t="s">
        <v>226</v>
      </c>
      <c r="C76" s="134" t="s">
        <v>331</v>
      </c>
      <c r="D76" s="127" t="s">
        <v>157</v>
      </c>
      <c r="E76" s="127"/>
      <c r="F76" s="127"/>
      <c r="G76" s="134" t="s">
        <v>228</v>
      </c>
      <c r="H76" s="127" t="s">
        <v>251</v>
      </c>
      <c r="I76" s="134" t="s">
        <v>160</v>
      </c>
      <c r="J76" s="134" t="s">
        <v>157</v>
      </c>
      <c r="K76" s="135">
        <v>6</v>
      </c>
      <c r="L76" s="135">
        <f>Table1368[[#This Row],[Prix total Achat]]-Table1368[[#This Row],[Prix article]]</f>
        <v>5.59</v>
      </c>
      <c r="M76" s="135">
        <v>11.59</v>
      </c>
      <c r="N76" s="134">
        <v>46003</v>
      </c>
      <c r="O76" s="136">
        <f>(Table1368[[#This Row],[Prix total Achat]]*2)</f>
        <v>23.18</v>
      </c>
      <c r="P76" s="136">
        <f>Table1368[[#This Row],[Prix Min voulu (x2 )]]*1.2</f>
        <v>27.816</v>
      </c>
      <c r="Q76" s="134">
        <v>46012</v>
      </c>
      <c r="R76" s="134">
        <v>46014</v>
      </c>
      <c r="S76" s="135">
        <v>55</v>
      </c>
      <c r="T76" s="134" t="s">
        <v>160</v>
      </c>
      <c r="U76" s="134" t="s">
        <v>157</v>
      </c>
      <c r="V76" s="137">
        <f>IF(ISBLANK(Table1368[[#This Row],[Date réception Achat]]),"",IF(ISBLANK(Table1368[[#This Row],[Date revente]]),TODAY(),Table1368[[#This Row],[Date revente]])-Table1368[[#This Row],[Date réception Achat]])</f>
        <v>11</v>
      </c>
      <c r="W7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6" s="135">
        <f>IF(Table1368[[#This Row],[Prix de revente]]="","",Table1368[[#This Row],[Prix de revente]]-Table1368[[#This Row],[Prix total Achat]])</f>
        <v>43.41</v>
      </c>
      <c r="Y76" s="138">
        <f>IF(Table1368[[#This Row],[Prix de revente]]="","",(Table1368[[#This Row],[Prix de revente]]/Table1368[[#This Row],[Prix total Achat]]))</f>
        <v>4.745470232959448</v>
      </c>
      <c r="Z76" s="139">
        <f>IF(ISBLANK(Table1368[[#This Row],[Date réception Achat]]),"",IF(ISBLANK(Table1368[[#This Row],[Date réception Achat]]),TODAY(),Table1368[[#This Row],[Date réception Achat]])-Table1368[[#This Row],[Date achat]])</f>
        <v>4</v>
      </c>
      <c r="AA76" s="139">
        <f>IF(ISBLANK(Table1368[[#This Row],[Date relisting]]),"",IF(ISBLANK(Table1368[[#This Row],[Date relisting]]),TODAY(),Table1368[[#This Row],[Date relisting]])-Table1368[[#This Row],[Date réception Achat]])</f>
        <v>9</v>
      </c>
      <c r="AB76" s="139">
        <f>IF(ISBLANK(Table1368[[#This Row],[Date revente]]),"",IF(ISBLANK(Table1368[[#This Row],[Date revente]]),TODAY(),Table1368[[#This Row],[Date revente]])-Table1368[[#This Row],[Date relisting]])</f>
        <v>2</v>
      </c>
      <c r="AC76" s="139">
        <f>IF(ISBLANK(Table1368[[#This Row],[Date revente]]),"",IF(ISBLANK(Table1368[[#This Row],[Date revente]]),TODAY(),Table1368[[#This Row],[Date revente]])-Table1368[[#This Row],[Date réception Achat]])</f>
        <v>11</v>
      </c>
      <c r="AD76" s="139">
        <f>IF(ISBLANK(Table1368[[#This Row],[Date revente]]),"",IF(ISBLANK(Table1368[[#This Row],[Date revente]]),TODAY(),Table1368[[#This Row],[Date revente]])-Table1368[[#This Row],[Date achat]])</f>
        <v>15</v>
      </c>
    </row>
    <row r="77" spans="1:30" x14ac:dyDescent="0.25">
      <c r="A77" s="134">
        <v>46006</v>
      </c>
      <c r="B77" s="141" t="s">
        <v>203</v>
      </c>
      <c r="C77" s="134" t="s">
        <v>332</v>
      </c>
      <c r="D77" s="127" t="s">
        <v>157</v>
      </c>
      <c r="E77" s="127"/>
      <c r="F77" s="127"/>
      <c r="G77" s="134" t="s">
        <v>284</v>
      </c>
      <c r="H77" s="127" t="s">
        <v>174</v>
      </c>
      <c r="I77" s="134" t="s">
        <v>160</v>
      </c>
      <c r="J77" s="134" t="s">
        <v>157</v>
      </c>
      <c r="K77" s="135">
        <v>32</v>
      </c>
      <c r="L77" s="135">
        <f>Table1368[[#This Row],[Prix total Achat]]-Table1368[[#This Row],[Prix article]]</f>
        <v>5.530000000000001</v>
      </c>
      <c r="M77" s="135">
        <v>37.53</v>
      </c>
      <c r="N77" s="134">
        <v>46020</v>
      </c>
      <c r="O77" s="136">
        <f>(Table1368[[#This Row],[Prix total Achat]]*2)</f>
        <v>75.06</v>
      </c>
      <c r="P77" s="136">
        <f>Table1368[[#This Row],[Prix Min voulu (x2 )]]*1.2</f>
        <v>90.072</v>
      </c>
      <c r="Q77" s="134">
        <v>46037</v>
      </c>
      <c r="R77" s="134">
        <v>46054</v>
      </c>
      <c r="S77" s="135">
        <v>70</v>
      </c>
      <c r="T77" s="134" t="s">
        <v>160</v>
      </c>
      <c r="U77" s="134" t="s">
        <v>157</v>
      </c>
      <c r="V77" s="137">
        <f>IF(ISBLANK(Table1368[[#This Row],[Date réception Achat]]),"",IF(ISBLANK(Table1368[[#This Row],[Date revente]]),TODAY(),Table1368[[#This Row],[Date revente]])-Table1368[[#This Row],[Date réception Achat]])</f>
        <v>34</v>
      </c>
      <c r="W7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7" s="135">
        <f>IF(Table1368[[#This Row],[Prix de revente]]="","",Table1368[[#This Row],[Prix de revente]]-Table1368[[#This Row],[Prix total Achat]])</f>
        <v>32.47</v>
      </c>
      <c r="Y77" s="138">
        <f>IF(Table1368[[#This Row],[Prix de revente]]="","",(Table1368[[#This Row],[Prix de revente]]/Table1368[[#This Row],[Prix total Achat]]))</f>
        <v>1.8651745270450306</v>
      </c>
      <c r="Z77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77" s="139">
        <f>IF(ISBLANK(Table1368[[#This Row],[Date relisting]]),"",IF(ISBLANK(Table1368[[#This Row],[Date relisting]]),TODAY(),Table1368[[#This Row],[Date relisting]])-Table1368[[#This Row],[Date réception Achat]])</f>
        <v>17</v>
      </c>
      <c r="AB77" s="139">
        <f>IF(ISBLANK(Table1368[[#This Row],[Date revente]]),"",IF(ISBLANK(Table1368[[#This Row],[Date revente]]),TODAY(),Table1368[[#This Row],[Date revente]])-Table1368[[#This Row],[Date relisting]])</f>
        <v>17</v>
      </c>
      <c r="AC77" s="139">
        <f>IF(ISBLANK(Table1368[[#This Row],[Date revente]]),"",IF(ISBLANK(Table1368[[#This Row],[Date revente]]),TODAY(),Table1368[[#This Row],[Date revente]])-Table1368[[#This Row],[Date réception Achat]])</f>
        <v>34</v>
      </c>
      <c r="AD77" s="139">
        <f>IF(ISBLANK(Table1368[[#This Row],[Date revente]]),"",IF(ISBLANK(Table1368[[#This Row],[Date revente]]),TODAY(),Table1368[[#This Row],[Date revente]])-Table1368[[#This Row],[Date achat]])</f>
        <v>48</v>
      </c>
    </row>
    <row r="78" spans="1:30" x14ac:dyDescent="0.25">
      <c r="A78" s="134">
        <v>46008</v>
      </c>
      <c r="B78" s="141" t="s">
        <v>203</v>
      </c>
      <c r="C78" s="134" t="s">
        <v>333</v>
      </c>
      <c r="D78" s="127" t="s">
        <v>157</v>
      </c>
      <c r="E78" s="127"/>
      <c r="F78" s="127"/>
      <c r="G78" s="134" t="s">
        <v>284</v>
      </c>
      <c r="H78" s="127" t="s">
        <v>178</v>
      </c>
      <c r="I78" s="134" t="s">
        <v>160</v>
      </c>
      <c r="J78" s="134" t="s">
        <v>157</v>
      </c>
      <c r="K78" s="135">
        <v>17</v>
      </c>
      <c r="L78" s="135">
        <f>Table1368[[#This Row],[Prix total Achat]]-Table1368[[#This Row],[Prix article]]</f>
        <v>4.640000000000001</v>
      </c>
      <c r="M78" s="135">
        <v>21.64</v>
      </c>
      <c r="N78" s="134">
        <v>46025</v>
      </c>
      <c r="O78" s="136">
        <f>(Table1368[[#This Row],[Prix total Achat]]*2)</f>
        <v>43.28</v>
      </c>
      <c r="P78" s="136">
        <f>Table1368[[#This Row],[Prix Min voulu (x2 )]]*1.2</f>
        <v>51.936</v>
      </c>
      <c r="Q78" s="134">
        <v>46037</v>
      </c>
      <c r="R78" s="134">
        <v>46053</v>
      </c>
      <c r="S78" s="135">
        <v>60</v>
      </c>
      <c r="T78" s="134" t="s">
        <v>160</v>
      </c>
      <c r="U78" s="134" t="s">
        <v>157</v>
      </c>
      <c r="V78" s="137">
        <f>IF(ISBLANK(Table1368[[#This Row],[Date réception Achat]]),"",IF(ISBLANK(Table1368[[#This Row],[Date revente]]),TODAY(),Table1368[[#This Row],[Date revente]])-Table1368[[#This Row],[Date réception Achat]])</f>
        <v>28</v>
      </c>
      <c r="W7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8" s="135">
        <f>IF(Table1368[[#This Row],[Prix de revente]]="","",Table1368[[#This Row],[Prix de revente]]-Table1368[[#This Row],[Prix total Achat]])</f>
        <v>38.36</v>
      </c>
      <c r="Y78" s="138">
        <f>IF(Table1368[[#This Row],[Prix de revente]]="","",(Table1368[[#This Row],[Prix de revente]]/Table1368[[#This Row],[Prix total Achat]]))</f>
        <v>2.7726432532347505</v>
      </c>
      <c r="Z78" s="139">
        <f>IF(ISBLANK(Table1368[[#This Row],[Date réception Achat]]),"",IF(ISBLANK(Table1368[[#This Row],[Date réception Achat]]),TODAY(),Table1368[[#This Row],[Date réception Achat]])-Table1368[[#This Row],[Date achat]])</f>
        <v>17</v>
      </c>
      <c r="AA78" s="139">
        <f>IF(ISBLANK(Table1368[[#This Row],[Date relisting]]),"",IF(ISBLANK(Table1368[[#This Row],[Date relisting]]),TODAY(),Table1368[[#This Row],[Date relisting]])-Table1368[[#This Row],[Date réception Achat]])</f>
        <v>12</v>
      </c>
      <c r="AB78" s="139">
        <f>IF(ISBLANK(Table1368[[#This Row],[Date revente]]),"",IF(ISBLANK(Table1368[[#This Row],[Date revente]]),TODAY(),Table1368[[#This Row],[Date revente]])-Table1368[[#This Row],[Date relisting]])</f>
        <v>16</v>
      </c>
      <c r="AC78" s="139">
        <f>IF(ISBLANK(Table1368[[#This Row],[Date revente]]),"",IF(ISBLANK(Table1368[[#This Row],[Date revente]]),TODAY(),Table1368[[#This Row],[Date revente]])-Table1368[[#This Row],[Date réception Achat]])</f>
        <v>28</v>
      </c>
      <c r="AD78" s="139">
        <f>IF(ISBLANK(Table1368[[#This Row],[Date revente]]),"",IF(ISBLANK(Table1368[[#This Row],[Date revente]]),TODAY(),Table1368[[#This Row],[Date revente]])-Table1368[[#This Row],[Date achat]])</f>
        <v>45</v>
      </c>
    </row>
    <row r="79" spans="1:30" x14ac:dyDescent="0.25">
      <c r="A79" s="134">
        <v>46009</v>
      </c>
      <c r="B79" s="141" t="s">
        <v>309</v>
      </c>
      <c r="C79" s="134" t="s">
        <v>334</v>
      </c>
      <c r="D79" s="127" t="s">
        <v>157</v>
      </c>
      <c r="E79" s="127"/>
      <c r="F79" s="127"/>
      <c r="G79" s="134" t="s">
        <v>228</v>
      </c>
      <c r="H79" s="127" t="s">
        <v>287</v>
      </c>
      <c r="I79" s="134" t="s">
        <v>160</v>
      </c>
      <c r="J79" s="134" t="s">
        <v>157</v>
      </c>
      <c r="K79" s="135">
        <v>12</v>
      </c>
      <c r="L79" s="135">
        <f>Table1368[[#This Row],[Prix total Achat]]-Table1368[[#This Row],[Prix article]]</f>
        <v>4.530000000000001</v>
      </c>
      <c r="M79" s="135">
        <v>16.53</v>
      </c>
      <c r="N79" s="134">
        <v>46020</v>
      </c>
      <c r="O79" s="136">
        <f>(Table1368[[#This Row],[Prix total Achat]]*2)</f>
        <v>33.06</v>
      </c>
      <c r="P79" s="136">
        <f>Table1368[[#This Row],[Prix Min voulu (x2 )]]*1.2</f>
        <v>39.672000000000004</v>
      </c>
      <c r="Q79" s="134">
        <v>46037</v>
      </c>
      <c r="R79" s="134">
        <v>46051</v>
      </c>
      <c r="S79" s="135">
        <v>35</v>
      </c>
      <c r="T79" s="134" t="s">
        <v>160</v>
      </c>
      <c r="U79" s="134" t="s">
        <v>157</v>
      </c>
      <c r="V79" s="137">
        <f>IF(ISBLANK(Table1368[[#This Row],[Date réception Achat]]),"",IF(ISBLANK(Table1368[[#This Row],[Date revente]]),TODAY(),Table1368[[#This Row],[Date revente]])-Table1368[[#This Row],[Date réception Achat]])</f>
        <v>31</v>
      </c>
      <c r="W7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79" s="135">
        <f>IF(Table1368[[#This Row],[Prix de revente]]="","",Table1368[[#This Row],[Prix de revente]]-Table1368[[#This Row],[Prix total Achat]])</f>
        <v>18.47</v>
      </c>
      <c r="Y79" s="138">
        <f>IF(Table1368[[#This Row],[Prix de revente]]="","",(Table1368[[#This Row],[Prix de revente]]/Table1368[[#This Row],[Prix total Achat]]))</f>
        <v>2.117362371445856</v>
      </c>
      <c r="Z79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79" s="139">
        <f>IF(ISBLANK(Table1368[[#This Row],[Date relisting]]),"",IF(ISBLANK(Table1368[[#This Row],[Date relisting]]),TODAY(),Table1368[[#This Row],[Date relisting]])-Table1368[[#This Row],[Date réception Achat]])</f>
        <v>17</v>
      </c>
      <c r="AB79" s="139">
        <f>IF(ISBLANK(Table1368[[#This Row],[Date revente]]),"",IF(ISBLANK(Table1368[[#This Row],[Date revente]]),TODAY(),Table1368[[#This Row],[Date revente]])-Table1368[[#This Row],[Date relisting]])</f>
        <v>14</v>
      </c>
      <c r="AC79" s="139">
        <f>IF(ISBLANK(Table1368[[#This Row],[Date revente]]),"",IF(ISBLANK(Table1368[[#This Row],[Date revente]]),TODAY(),Table1368[[#This Row],[Date revente]])-Table1368[[#This Row],[Date réception Achat]])</f>
        <v>31</v>
      </c>
      <c r="AD79" s="139">
        <f>IF(ISBLANK(Table1368[[#This Row],[Date revente]]),"",IF(ISBLANK(Table1368[[#This Row],[Date revente]]),TODAY(),Table1368[[#This Row],[Date revente]])-Table1368[[#This Row],[Date achat]])</f>
        <v>42</v>
      </c>
    </row>
    <row r="80" spans="1:30" x14ac:dyDescent="0.25">
      <c r="A80" s="134">
        <v>46010</v>
      </c>
      <c r="B80" s="141" t="s">
        <v>309</v>
      </c>
      <c r="C80" s="134" t="s">
        <v>335</v>
      </c>
      <c r="D80" s="127" t="s">
        <v>157</v>
      </c>
      <c r="E80" s="127"/>
      <c r="F80" s="127"/>
      <c r="G80" s="134" t="s">
        <v>228</v>
      </c>
      <c r="H80" s="127" t="s">
        <v>336</v>
      </c>
      <c r="I80" s="134" t="s">
        <v>160</v>
      </c>
      <c r="J80" s="134" t="s">
        <v>337</v>
      </c>
      <c r="K80" s="135">
        <v>10</v>
      </c>
      <c r="L80" s="135">
        <f>Table1368[[#This Row],[Prix total Achat]]-Table1368[[#This Row],[Prix article]]</f>
        <v>5.49</v>
      </c>
      <c r="M80" s="135">
        <v>15.49</v>
      </c>
      <c r="N80" s="134">
        <v>46031</v>
      </c>
      <c r="O80" s="136">
        <f>(Table1368[[#This Row],[Prix total Achat]]*2)</f>
        <v>30.98</v>
      </c>
      <c r="P80" s="136">
        <f>Table1368[[#This Row],[Prix Min voulu (x2 )]]*1.2</f>
        <v>37.176</v>
      </c>
      <c r="Q80" s="134">
        <v>46037</v>
      </c>
      <c r="R80" s="134">
        <v>46097</v>
      </c>
      <c r="S80" s="135">
        <v>20</v>
      </c>
      <c r="T80" s="134" t="s">
        <v>160</v>
      </c>
      <c r="U80" s="134" t="s">
        <v>157</v>
      </c>
      <c r="V80" s="137">
        <f>IF(ISBLANK(Table1368[[#This Row],[Date réception Achat]]),"",IF(ISBLANK(Table1368[[#This Row],[Date revente]]),TODAY(),Table1368[[#This Row],[Date revente]])-Table1368[[#This Row],[Date réception Achat]])</f>
        <v>66</v>
      </c>
      <c r="W8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0" s="135">
        <f>IF(Table1368[[#This Row],[Prix de revente]]="","",Table1368[[#This Row],[Prix de revente]]-Table1368[[#This Row],[Prix total Achat]])</f>
        <v>4.51</v>
      </c>
      <c r="Y80" s="138">
        <f>IF(Table1368[[#This Row],[Prix de revente]]="","",(Table1368[[#This Row],[Prix de revente]]/Table1368[[#This Row],[Prix total Achat]]))</f>
        <v>1.2911555842479019</v>
      </c>
      <c r="Z80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80" s="139">
        <f>IF(ISBLANK(Table1368[[#This Row],[Date relisting]]),"",IF(ISBLANK(Table1368[[#This Row],[Date relisting]]),TODAY(),Table1368[[#This Row],[Date relisting]])-Table1368[[#This Row],[Date réception Achat]])</f>
        <v>6</v>
      </c>
      <c r="AB80" s="139">
        <f>IF(ISBLANK(Table1368[[#This Row],[Date revente]]),"",IF(ISBLANK(Table1368[[#This Row],[Date revente]]),TODAY(),Table1368[[#This Row],[Date revente]])-Table1368[[#This Row],[Date relisting]])</f>
        <v>60</v>
      </c>
      <c r="AC80" s="139">
        <f>IF(ISBLANK(Table1368[[#This Row],[Date revente]]),"",IF(ISBLANK(Table1368[[#This Row],[Date revente]]),TODAY(),Table1368[[#This Row],[Date revente]])-Table1368[[#This Row],[Date réception Achat]])</f>
        <v>66</v>
      </c>
      <c r="AD80" s="139">
        <f>IF(ISBLANK(Table1368[[#This Row],[Date revente]]),"",IF(ISBLANK(Table1368[[#This Row],[Date revente]]),TODAY(),Table1368[[#This Row],[Date revente]])-Table1368[[#This Row],[Date achat]])</f>
        <v>87</v>
      </c>
    </row>
    <row r="81" spans="1:30" x14ac:dyDescent="0.25">
      <c r="A81" s="134">
        <v>46014</v>
      </c>
      <c r="B81" s="141" t="s">
        <v>338</v>
      </c>
      <c r="C81" s="134" t="s">
        <v>339</v>
      </c>
      <c r="D81" s="127" t="s">
        <v>157</v>
      </c>
      <c r="E81" s="127"/>
      <c r="F81" s="127"/>
      <c r="G81" s="134" t="s">
        <v>245</v>
      </c>
      <c r="H81" s="127" t="s">
        <v>174</v>
      </c>
      <c r="I81" s="134" t="s">
        <v>160</v>
      </c>
      <c r="J81" s="134" t="s">
        <v>157</v>
      </c>
      <c r="K81" s="135">
        <v>5</v>
      </c>
      <c r="L81" s="135">
        <f>Table1368[[#This Row],[Prix total Achat]]-Table1368[[#This Row],[Prix article]]</f>
        <v>3.83</v>
      </c>
      <c r="M81" s="135">
        <v>8.83</v>
      </c>
      <c r="N81" s="134">
        <v>46024</v>
      </c>
      <c r="O81" s="136">
        <f>(Table1368[[#This Row],[Prix total Achat]]*2)</f>
        <v>17.66</v>
      </c>
      <c r="P81" s="136">
        <f>Table1368[[#This Row],[Prix Min voulu (x2 )]]*1.2</f>
        <v>21.192</v>
      </c>
      <c r="Q81" s="134">
        <v>46037</v>
      </c>
      <c r="R81" s="134">
        <v>46065</v>
      </c>
      <c r="S81" s="135">
        <v>12</v>
      </c>
      <c r="T81" s="134" t="s">
        <v>243</v>
      </c>
      <c r="U81" s="134" t="s">
        <v>157</v>
      </c>
      <c r="V81" s="137">
        <f>IF(ISBLANK(Table1368[[#This Row],[Date réception Achat]]),"",IF(ISBLANK(Table1368[[#This Row],[Date revente]]),TODAY(),Table1368[[#This Row],[Date revente]])-Table1368[[#This Row],[Date réception Achat]])</f>
        <v>41</v>
      </c>
      <c r="W8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1" s="135">
        <f>IF(Table1368[[#This Row],[Prix de revente]]="","",Table1368[[#This Row],[Prix de revente]]-Table1368[[#This Row],[Prix total Achat]])</f>
        <v>3.17</v>
      </c>
      <c r="Y81" s="138">
        <f>IF(Table1368[[#This Row],[Prix de revente]]="","",(Table1368[[#This Row],[Prix de revente]]/Table1368[[#This Row],[Prix total Achat]]))</f>
        <v>1.3590033975084939</v>
      </c>
      <c r="Z81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81" s="139">
        <f>IF(ISBLANK(Table1368[[#This Row],[Date relisting]]),"",IF(ISBLANK(Table1368[[#This Row],[Date relisting]]),TODAY(),Table1368[[#This Row],[Date relisting]])-Table1368[[#This Row],[Date réception Achat]])</f>
        <v>13</v>
      </c>
      <c r="AB81" s="139">
        <f>IF(ISBLANK(Table1368[[#This Row],[Date revente]]),"",IF(ISBLANK(Table1368[[#This Row],[Date revente]]),TODAY(),Table1368[[#This Row],[Date revente]])-Table1368[[#This Row],[Date relisting]])</f>
        <v>28</v>
      </c>
      <c r="AC81" s="139">
        <f>IF(ISBLANK(Table1368[[#This Row],[Date revente]]),"",IF(ISBLANK(Table1368[[#This Row],[Date revente]]),TODAY(),Table1368[[#This Row],[Date revente]])-Table1368[[#This Row],[Date réception Achat]])</f>
        <v>41</v>
      </c>
      <c r="AD81" s="139">
        <f>IF(ISBLANK(Table1368[[#This Row],[Date revente]]),"",IF(ISBLANK(Table1368[[#This Row],[Date revente]]),TODAY(),Table1368[[#This Row],[Date revente]])-Table1368[[#This Row],[Date achat]])</f>
        <v>51</v>
      </c>
    </row>
    <row r="82" spans="1:30" x14ac:dyDescent="0.25">
      <c r="A82" s="134">
        <v>46019</v>
      </c>
      <c r="B82" s="141" t="s">
        <v>309</v>
      </c>
      <c r="C82" s="134" t="s">
        <v>340</v>
      </c>
      <c r="D82" s="127" t="s">
        <v>157</v>
      </c>
      <c r="E82" s="127"/>
      <c r="F82" s="127"/>
      <c r="G82" s="134" t="s">
        <v>228</v>
      </c>
      <c r="H82" s="127" t="s">
        <v>341</v>
      </c>
      <c r="I82" s="134" t="s">
        <v>160</v>
      </c>
      <c r="J82" s="134" t="s">
        <v>157</v>
      </c>
      <c r="K82" s="135">
        <v>12</v>
      </c>
      <c r="L82" s="135">
        <f>Table1368[[#This Row],[Prix total Achat]]-Table1368[[#This Row],[Prix article]]</f>
        <v>4.129999999999999</v>
      </c>
      <c r="M82" s="135">
        <v>16.13</v>
      </c>
      <c r="N82" s="134">
        <v>46031</v>
      </c>
      <c r="O82" s="136">
        <f>(Table1368[[#This Row],[Prix total Achat]]*2)</f>
        <v>32.26</v>
      </c>
      <c r="P82" s="136">
        <f>Table1368[[#This Row],[Prix Min voulu (x2 )]]*1.2</f>
        <v>38.711999999999996</v>
      </c>
      <c r="Q82" s="134">
        <v>46038</v>
      </c>
      <c r="R82" s="134">
        <v>46038</v>
      </c>
      <c r="S82" s="135">
        <v>55</v>
      </c>
      <c r="T82" s="134" t="s">
        <v>160</v>
      </c>
      <c r="U82" s="134" t="s">
        <v>157</v>
      </c>
      <c r="V82" s="137">
        <f>IF(ISBLANK(Table1368[[#This Row],[Date réception Achat]]),"",IF(ISBLANK(Table1368[[#This Row],[Date revente]]),TODAY(),Table1368[[#This Row],[Date revente]])-Table1368[[#This Row],[Date réception Achat]])</f>
        <v>7</v>
      </c>
      <c r="W8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2" s="135">
        <f>IF(Table1368[[#This Row],[Prix de revente]]="","",Table1368[[#This Row],[Prix de revente]]-Table1368[[#This Row],[Prix total Achat]])</f>
        <v>38.870000000000005</v>
      </c>
      <c r="Y82" s="138">
        <f>IF(Table1368[[#This Row],[Prix de revente]]="","",(Table1368[[#This Row],[Prix de revente]]/Table1368[[#This Row],[Prix total Achat]]))</f>
        <v>3.4097954122752636</v>
      </c>
      <c r="Z82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82" s="139">
        <f>IF(ISBLANK(Table1368[[#This Row],[Date relisting]]),"",IF(ISBLANK(Table1368[[#This Row],[Date relisting]]),TODAY(),Table1368[[#This Row],[Date relisting]])-Table1368[[#This Row],[Date réception Achat]])</f>
        <v>7</v>
      </c>
      <c r="AB82" s="139">
        <f>IF(ISBLANK(Table1368[[#This Row],[Date revente]]),"",IF(ISBLANK(Table1368[[#This Row],[Date revente]]),TODAY(),Table1368[[#This Row],[Date revente]])-Table1368[[#This Row],[Date relisting]])</f>
        <v>0</v>
      </c>
      <c r="AC82" s="139">
        <f>IF(ISBLANK(Table1368[[#This Row],[Date revente]]),"",IF(ISBLANK(Table1368[[#This Row],[Date revente]]),TODAY(),Table1368[[#This Row],[Date revente]])-Table1368[[#This Row],[Date réception Achat]])</f>
        <v>7</v>
      </c>
      <c r="AD82" s="139">
        <f>IF(ISBLANK(Table1368[[#This Row],[Date revente]]),"",IF(ISBLANK(Table1368[[#This Row],[Date revente]]),TODAY(),Table1368[[#This Row],[Date revente]])-Table1368[[#This Row],[Date achat]])</f>
        <v>19</v>
      </c>
    </row>
    <row r="83" spans="1:30" x14ac:dyDescent="0.25">
      <c r="A83" s="134">
        <v>46021</v>
      </c>
      <c r="B83" s="141" t="s">
        <v>309</v>
      </c>
      <c r="C83" s="134" t="s">
        <v>342</v>
      </c>
      <c r="D83" s="127" t="s">
        <v>157</v>
      </c>
      <c r="E83" s="127"/>
      <c r="F83" s="127"/>
      <c r="G83" s="134" t="s">
        <v>228</v>
      </c>
      <c r="H83" s="127" t="s">
        <v>343</v>
      </c>
      <c r="I83" s="134" t="s">
        <v>160</v>
      </c>
      <c r="J83" s="134" t="s">
        <v>344</v>
      </c>
      <c r="K83" s="135">
        <v>11.428571428571429</v>
      </c>
      <c r="L83" s="135">
        <v>2.896666666666666</v>
      </c>
      <c r="M83" s="135">
        <v>14.325238095238095</v>
      </c>
      <c r="N83" s="134">
        <v>46027</v>
      </c>
      <c r="O83" s="136">
        <f>(Table1368[[#This Row],[Prix total Achat]]*2)</f>
        <v>28.65047619047619</v>
      </c>
      <c r="P83" s="136">
        <f>Table1368[[#This Row],[Prix Min voulu (x2 )]]*1.2</f>
        <v>34.38057142857143</v>
      </c>
      <c r="Q83" s="134">
        <v>46037</v>
      </c>
      <c r="R83" s="134">
        <v>46038</v>
      </c>
      <c r="S83" s="135">
        <v>50</v>
      </c>
      <c r="T83" s="134" t="s">
        <v>160</v>
      </c>
      <c r="U83" s="134" t="s">
        <v>157</v>
      </c>
      <c r="V83" s="137">
        <f>IF(ISBLANK(Table1368[[#This Row],[Date réception Achat]]),"",IF(ISBLANK(Table1368[[#This Row],[Date revente]]),TODAY(),Table1368[[#This Row],[Date revente]])-Table1368[[#This Row],[Date réception Achat]])</f>
        <v>11</v>
      </c>
      <c r="W8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3" s="135">
        <f>IF(Table1368[[#This Row],[Prix de revente]]="","",Table1368[[#This Row],[Prix de revente]]-Table1368[[#This Row],[Prix total Achat]])</f>
        <v>35.67476190476191</v>
      </c>
      <c r="Y83" s="138">
        <f>IF(Table1368[[#This Row],[Prix de revente]]="","",(Table1368[[#This Row],[Prix de revente]]/Table1368[[#This Row],[Prix total Achat]]))</f>
        <v>3.490343383306186</v>
      </c>
      <c r="Z83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83" s="139">
        <f>IF(ISBLANK(Table1368[[#This Row],[Date relisting]]),"",IF(ISBLANK(Table1368[[#This Row],[Date relisting]]),TODAY(),Table1368[[#This Row],[Date relisting]])-Table1368[[#This Row],[Date réception Achat]])</f>
        <v>10</v>
      </c>
      <c r="AB83" s="139">
        <f>IF(ISBLANK(Table1368[[#This Row],[Date revente]]),"",IF(ISBLANK(Table1368[[#This Row],[Date revente]]),TODAY(),Table1368[[#This Row],[Date revente]])-Table1368[[#This Row],[Date relisting]])</f>
        <v>1</v>
      </c>
      <c r="AC83" s="139">
        <f>IF(ISBLANK(Table1368[[#This Row],[Date revente]]),"",IF(ISBLANK(Table1368[[#This Row],[Date revente]]),TODAY(),Table1368[[#This Row],[Date revente]])-Table1368[[#This Row],[Date réception Achat]])</f>
        <v>11</v>
      </c>
      <c r="AD83" s="139">
        <f>IF(ISBLANK(Table1368[[#This Row],[Date revente]]),"",IF(ISBLANK(Table1368[[#This Row],[Date revente]]),TODAY(),Table1368[[#This Row],[Date revente]])-Table1368[[#This Row],[Date achat]])</f>
        <v>17</v>
      </c>
    </row>
    <row r="84" spans="1:30" x14ac:dyDescent="0.25">
      <c r="A84" s="134">
        <v>46021</v>
      </c>
      <c r="B84" s="141" t="s">
        <v>309</v>
      </c>
      <c r="C84" s="134" t="s">
        <v>345</v>
      </c>
      <c r="D84" s="127" t="s">
        <v>157</v>
      </c>
      <c r="E84" s="127"/>
      <c r="F84" s="127"/>
      <c r="G84" s="134" t="s">
        <v>228</v>
      </c>
      <c r="H84" s="127" t="s">
        <v>346</v>
      </c>
      <c r="I84" s="134" t="s">
        <v>160</v>
      </c>
      <c r="J84" s="134" t="s">
        <v>344</v>
      </c>
      <c r="K84" s="135">
        <v>11.428571428571429</v>
      </c>
      <c r="L84" s="135">
        <v>2.896666666666666</v>
      </c>
      <c r="M84" s="135">
        <v>14.325238095238095</v>
      </c>
      <c r="N84" s="134">
        <v>46027</v>
      </c>
      <c r="O84" s="136">
        <f>(Table1368[[#This Row],[Prix total Achat]]*2)</f>
        <v>28.65047619047619</v>
      </c>
      <c r="P84" s="136">
        <f>Table1368[[#This Row],[Prix Min voulu (x2 )]]*1.2</f>
        <v>34.38057142857143</v>
      </c>
      <c r="Q84" s="134">
        <v>46038</v>
      </c>
      <c r="R84" s="134">
        <v>46038</v>
      </c>
      <c r="S84" s="135">
        <v>45</v>
      </c>
      <c r="T84" s="134" t="s">
        <v>160</v>
      </c>
      <c r="U84" s="134" t="s">
        <v>157</v>
      </c>
      <c r="V84" s="137">
        <f>IF(ISBLANK(Table1368[[#This Row],[Date réception Achat]]),"",IF(ISBLANK(Table1368[[#This Row],[Date revente]]),TODAY(),Table1368[[#This Row],[Date revente]])-Table1368[[#This Row],[Date réception Achat]])</f>
        <v>11</v>
      </c>
      <c r="W8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4" s="135">
        <f>IF(Table1368[[#This Row],[Prix de revente]]="","",Table1368[[#This Row],[Prix de revente]]-Table1368[[#This Row],[Prix total Achat]])</f>
        <v>30.674761904761905</v>
      </c>
      <c r="Y84" s="138">
        <f>IF(Table1368[[#This Row],[Prix de revente]]="","",(Table1368[[#This Row],[Prix de revente]]/Table1368[[#This Row],[Prix total Achat]]))</f>
        <v>3.1413090449755674</v>
      </c>
      <c r="Z84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84" s="139">
        <f>IF(ISBLANK(Table1368[[#This Row],[Date relisting]]),"",IF(ISBLANK(Table1368[[#This Row],[Date relisting]]),TODAY(),Table1368[[#This Row],[Date relisting]])-Table1368[[#This Row],[Date réception Achat]])</f>
        <v>11</v>
      </c>
      <c r="AB84" s="139">
        <f>IF(ISBLANK(Table1368[[#This Row],[Date revente]]),"",IF(ISBLANK(Table1368[[#This Row],[Date revente]]),TODAY(),Table1368[[#This Row],[Date revente]])-Table1368[[#This Row],[Date relisting]])</f>
        <v>0</v>
      </c>
      <c r="AC84" s="139">
        <f>IF(ISBLANK(Table1368[[#This Row],[Date revente]]),"",IF(ISBLANK(Table1368[[#This Row],[Date revente]]),TODAY(),Table1368[[#This Row],[Date revente]])-Table1368[[#This Row],[Date réception Achat]])</f>
        <v>11</v>
      </c>
      <c r="AD84" s="139">
        <f>IF(ISBLANK(Table1368[[#This Row],[Date revente]]),"",IF(ISBLANK(Table1368[[#This Row],[Date revente]]),TODAY(),Table1368[[#This Row],[Date revente]])-Table1368[[#This Row],[Date achat]])</f>
        <v>17</v>
      </c>
    </row>
    <row r="85" spans="1:30" x14ac:dyDescent="0.25">
      <c r="A85" s="134">
        <v>46021</v>
      </c>
      <c r="B85" s="141" t="s">
        <v>309</v>
      </c>
      <c r="C85" s="134" t="s">
        <v>347</v>
      </c>
      <c r="D85" s="127" t="s">
        <v>157</v>
      </c>
      <c r="E85" s="127"/>
      <c r="F85" s="127"/>
      <c r="G85" s="134" t="s">
        <v>228</v>
      </c>
      <c r="H85" s="127" t="s">
        <v>251</v>
      </c>
      <c r="I85" s="134" t="s">
        <v>160</v>
      </c>
      <c r="J85" s="134" t="s">
        <v>157</v>
      </c>
      <c r="K85" s="135">
        <v>8</v>
      </c>
      <c r="L85" s="135">
        <f>Table1368[[#This Row],[Prix total Achat]]-Table1368[[#This Row],[Prix article]]</f>
        <v>3.9299999999999997</v>
      </c>
      <c r="M85" s="135">
        <v>11.93</v>
      </c>
      <c r="N85" s="134">
        <v>46031</v>
      </c>
      <c r="O85" s="136">
        <f>(Table1368[[#This Row],[Prix total Achat]]*2)</f>
        <v>23.86</v>
      </c>
      <c r="P85" s="136">
        <f>Table1368[[#This Row],[Prix Min voulu (x2 )]]*1.2</f>
        <v>28.631999999999998</v>
      </c>
      <c r="Q85" s="134">
        <v>46038</v>
      </c>
      <c r="R85" s="134">
        <v>46041</v>
      </c>
      <c r="S85" s="135">
        <v>35</v>
      </c>
      <c r="T85" s="134" t="s">
        <v>160</v>
      </c>
      <c r="U85" s="134" t="s">
        <v>157</v>
      </c>
      <c r="V85" s="137">
        <f>IF(ISBLANK(Table1368[[#This Row],[Date réception Achat]]),"",IF(ISBLANK(Table1368[[#This Row],[Date revente]]),TODAY(),Table1368[[#This Row],[Date revente]])-Table1368[[#This Row],[Date réception Achat]])</f>
        <v>10</v>
      </c>
      <c r="W8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5" s="135">
        <f>IF(Table1368[[#This Row],[Prix de revente]]="","",Table1368[[#This Row],[Prix de revente]]-Table1368[[#This Row],[Prix total Achat]])</f>
        <v>23.07</v>
      </c>
      <c r="Y85" s="138">
        <f>IF(Table1368[[#This Row],[Prix de revente]]="","",(Table1368[[#This Row],[Prix de revente]]/Table1368[[#This Row],[Prix total Achat]]))</f>
        <v>2.933780385582565</v>
      </c>
      <c r="Z85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85" s="139">
        <f>IF(ISBLANK(Table1368[[#This Row],[Date relisting]]),"",IF(ISBLANK(Table1368[[#This Row],[Date relisting]]),TODAY(),Table1368[[#This Row],[Date relisting]])-Table1368[[#This Row],[Date réception Achat]])</f>
        <v>7</v>
      </c>
      <c r="AB85" s="139">
        <f>IF(ISBLANK(Table1368[[#This Row],[Date revente]]),"",IF(ISBLANK(Table1368[[#This Row],[Date revente]]),TODAY(),Table1368[[#This Row],[Date revente]])-Table1368[[#This Row],[Date relisting]])</f>
        <v>3</v>
      </c>
      <c r="AC85" s="139">
        <f>IF(ISBLANK(Table1368[[#This Row],[Date revente]]),"",IF(ISBLANK(Table1368[[#This Row],[Date revente]]),TODAY(),Table1368[[#This Row],[Date revente]])-Table1368[[#This Row],[Date réception Achat]])</f>
        <v>10</v>
      </c>
      <c r="AD85" s="139">
        <f>IF(ISBLANK(Table1368[[#This Row],[Date revente]]),"",IF(ISBLANK(Table1368[[#This Row],[Date revente]]),TODAY(),Table1368[[#This Row],[Date revente]])-Table1368[[#This Row],[Date achat]])</f>
        <v>20</v>
      </c>
    </row>
    <row r="86" spans="1:30" x14ac:dyDescent="0.25">
      <c r="A86" s="134">
        <v>46021</v>
      </c>
      <c r="B86" s="141" t="s">
        <v>246</v>
      </c>
      <c r="C86" s="134" t="s">
        <v>348</v>
      </c>
      <c r="D86" s="127" t="s">
        <v>157</v>
      </c>
      <c r="E86" s="127"/>
      <c r="F86" s="127"/>
      <c r="G86" s="134" t="s">
        <v>349</v>
      </c>
      <c r="H86" s="127" t="s">
        <v>164</v>
      </c>
      <c r="I86" s="134" t="s">
        <v>160</v>
      </c>
      <c r="J86" s="134" t="s">
        <v>344</v>
      </c>
      <c r="K86" s="135">
        <v>17.142857142857146</v>
      </c>
      <c r="L86" s="135">
        <v>2.896666666666666</v>
      </c>
      <c r="M86" s="135">
        <v>20.03952380952381</v>
      </c>
      <c r="N86" s="134">
        <v>46027</v>
      </c>
      <c r="O86" s="136">
        <f>(Table1368[[#This Row],[Prix total Achat]]*2)</f>
        <v>40.07904761904762</v>
      </c>
      <c r="P86" s="136">
        <f>Table1368[[#This Row],[Prix Min voulu (x2 )]]*1.2</f>
        <v>48.094857142857144</v>
      </c>
      <c r="Q86" s="134">
        <v>46037</v>
      </c>
      <c r="R86" s="134">
        <v>46097</v>
      </c>
      <c r="S86" s="135">
        <v>15</v>
      </c>
      <c r="T86" s="134" t="s">
        <v>160</v>
      </c>
      <c r="U86" s="134" t="s">
        <v>157</v>
      </c>
      <c r="V86" s="137">
        <f>IF(ISBLANK(Table1368[[#This Row],[Date réception Achat]]),"",IF(ISBLANK(Table1368[[#This Row],[Date revente]]),TODAY(),Table1368[[#This Row],[Date revente]])-Table1368[[#This Row],[Date réception Achat]])</f>
        <v>70</v>
      </c>
      <c r="W8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6" s="135">
        <f>IF(Table1368[[#This Row],[Prix de revente]]="","",Table1368[[#This Row],[Prix de revente]]-Table1368[[#This Row],[Prix total Achat]])</f>
        <v>-5.039523809523811</v>
      </c>
      <c r="Y86" s="138">
        <f>IF(Table1368[[#This Row],[Prix de revente]]="","",(Table1368[[#This Row],[Prix de revente]]/Table1368[[#This Row],[Prix total Achat]]))</f>
        <v>0.7485207803626167</v>
      </c>
      <c r="Z86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86" s="139">
        <f>IF(ISBLANK(Table1368[[#This Row],[Date relisting]]),"",IF(ISBLANK(Table1368[[#This Row],[Date relisting]]),TODAY(),Table1368[[#This Row],[Date relisting]])-Table1368[[#This Row],[Date réception Achat]])</f>
        <v>10</v>
      </c>
      <c r="AB86" s="139">
        <f>IF(ISBLANK(Table1368[[#This Row],[Date revente]]),"",IF(ISBLANK(Table1368[[#This Row],[Date revente]]),TODAY(),Table1368[[#This Row],[Date revente]])-Table1368[[#This Row],[Date relisting]])</f>
        <v>60</v>
      </c>
      <c r="AC86" s="139">
        <f>IF(ISBLANK(Table1368[[#This Row],[Date revente]]),"",IF(ISBLANK(Table1368[[#This Row],[Date revente]]),TODAY(),Table1368[[#This Row],[Date revente]])-Table1368[[#This Row],[Date réception Achat]])</f>
        <v>70</v>
      </c>
      <c r="AD86" s="139">
        <f>IF(ISBLANK(Table1368[[#This Row],[Date revente]]),"",IF(ISBLANK(Table1368[[#This Row],[Date revente]]),TODAY(),Table1368[[#This Row],[Date revente]])-Table1368[[#This Row],[Date achat]])</f>
        <v>76</v>
      </c>
    </row>
    <row r="87" spans="1:30" x14ac:dyDescent="0.25">
      <c r="A87" s="134">
        <v>46026</v>
      </c>
      <c r="B87" s="141" t="s">
        <v>309</v>
      </c>
      <c r="C87" s="134" t="s">
        <v>350</v>
      </c>
      <c r="D87" s="127" t="s">
        <v>157</v>
      </c>
      <c r="E87" s="127"/>
      <c r="F87" s="127"/>
      <c r="G87" s="134" t="s">
        <v>228</v>
      </c>
      <c r="H87" s="127" t="s">
        <v>351</v>
      </c>
      <c r="I87" s="134" t="s">
        <v>160</v>
      </c>
      <c r="J87" s="134" t="s">
        <v>157</v>
      </c>
      <c r="K87" s="135">
        <v>15</v>
      </c>
      <c r="L87" s="135">
        <f>Table1368[[#This Row],[Prix total Achat]]-Table1368[[#This Row],[Prix article]]</f>
        <v>4.68</v>
      </c>
      <c r="M87" s="135">
        <v>19.68</v>
      </c>
      <c r="N87" s="134">
        <v>46036</v>
      </c>
      <c r="O87" s="136">
        <f>(Table1368[[#This Row],[Prix total Achat]]*2)</f>
        <v>39.36</v>
      </c>
      <c r="P87" s="136">
        <f>Table1368[[#This Row],[Prix Min voulu (x2 )]]*1.2</f>
        <v>47.232</v>
      </c>
      <c r="Q87" s="134">
        <v>46038</v>
      </c>
      <c r="R87" s="134">
        <v>46048</v>
      </c>
      <c r="S87" s="135">
        <v>40.5</v>
      </c>
      <c r="T87" s="134" t="s">
        <v>160</v>
      </c>
      <c r="U87" s="134" t="s">
        <v>157</v>
      </c>
      <c r="V87" s="137">
        <f>IF(ISBLANK(Table1368[[#This Row],[Date réception Achat]]),"",IF(ISBLANK(Table1368[[#This Row],[Date revente]]),TODAY(),Table1368[[#This Row],[Date revente]])-Table1368[[#This Row],[Date réception Achat]])</f>
        <v>12</v>
      </c>
      <c r="W8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7" s="135">
        <f>IF(Table1368[[#This Row],[Prix de revente]]="","",Table1368[[#This Row],[Prix de revente]]-Table1368[[#This Row],[Prix total Achat]])</f>
        <v>20.82</v>
      </c>
      <c r="Y87" s="138">
        <f>IF(Table1368[[#This Row],[Prix de revente]]="","",(Table1368[[#This Row],[Prix de revente]]/Table1368[[#This Row],[Prix total Achat]]))</f>
        <v>2.057926829268293</v>
      </c>
      <c r="Z87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87" s="139">
        <f>IF(ISBLANK(Table1368[[#This Row],[Date relisting]]),"",IF(ISBLANK(Table1368[[#This Row],[Date relisting]]),TODAY(),Table1368[[#This Row],[Date relisting]])-Table1368[[#This Row],[Date réception Achat]])</f>
        <v>2</v>
      </c>
      <c r="AB87" s="139">
        <f>IF(ISBLANK(Table1368[[#This Row],[Date revente]]),"",IF(ISBLANK(Table1368[[#This Row],[Date revente]]),TODAY(),Table1368[[#This Row],[Date revente]])-Table1368[[#This Row],[Date relisting]])</f>
        <v>10</v>
      </c>
      <c r="AC87" s="139">
        <f>IF(ISBLANK(Table1368[[#This Row],[Date revente]]),"",IF(ISBLANK(Table1368[[#This Row],[Date revente]]),TODAY(),Table1368[[#This Row],[Date revente]])-Table1368[[#This Row],[Date réception Achat]])</f>
        <v>12</v>
      </c>
      <c r="AD87" s="139">
        <f>IF(ISBLANK(Table1368[[#This Row],[Date revente]]),"",IF(ISBLANK(Table1368[[#This Row],[Date revente]]),TODAY(),Table1368[[#This Row],[Date revente]])-Table1368[[#This Row],[Date achat]])</f>
        <v>22</v>
      </c>
    </row>
    <row r="88" spans="1:30" x14ac:dyDescent="0.25">
      <c r="A88" s="134">
        <v>46027</v>
      </c>
      <c r="B88" s="141" t="s">
        <v>352</v>
      </c>
      <c r="C88" s="134" t="s">
        <v>353</v>
      </c>
      <c r="D88" s="127" t="s">
        <v>157</v>
      </c>
      <c r="E88" s="127"/>
      <c r="F88" s="127"/>
      <c r="G88" s="134" t="s">
        <v>284</v>
      </c>
      <c r="H88" s="127" t="s">
        <v>164</v>
      </c>
      <c r="I88" s="134" t="s">
        <v>160</v>
      </c>
      <c r="J88" s="134" t="s">
        <v>157</v>
      </c>
      <c r="K88" s="135">
        <v>15</v>
      </c>
      <c r="L88" s="135">
        <f>Table1368[[#This Row],[Prix total Achat]]-Table1368[[#This Row],[Prix article]]</f>
        <v>4.34</v>
      </c>
      <c r="M88" s="135">
        <v>19.34</v>
      </c>
      <c r="N88" s="134">
        <v>46036</v>
      </c>
      <c r="O88" s="136">
        <f>(Table1368[[#This Row],[Prix total Achat]]*2)</f>
        <v>38.68</v>
      </c>
      <c r="P88" s="136">
        <f>Table1368[[#This Row],[Prix Min voulu (x2 )]]*1.2</f>
        <v>46.416</v>
      </c>
      <c r="Q88" s="134">
        <v>46038</v>
      </c>
      <c r="R88" s="134">
        <v>46052</v>
      </c>
      <c r="S88" s="135">
        <v>42</v>
      </c>
      <c r="T88" s="134" t="s">
        <v>160</v>
      </c>
      <c r="U88" s="134" t="s">
        <v>157</v>
      </c>
      <c r="V88" s="137">
        <f>IF(ISBLANK(Table1368[[#This Row],[Date réception Achat]]),"",IF(ISBLANK(Table1368[[#This Row],[Date revente]]),TODAY(),Table1368[[#This Row],[Date revente]])-Table1368[[#This Row],[Date réception Achat]])</f>
        <v>16</v>
      </c>
      <c r="W8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8" s="135">
        <f>IF(Table1368[[#This Row],[Prix de revente]]="","",Table1368[[#This Row],[Prix de revente]]-Table1368[[#This Row],[Prix total Achat]])</f>
        <v>22.66</v>
      </c>
      <c r="Y88" s="138">
        <f>IF(Table1368[[#This Row],[Prix de revente]]="","",(Table1368[[#This Row],[Prix de revente]]/Table1368[[#This Row],[Prix total Achat]]))</f>
        <v>2.1716649431230612</v>
      </c>
      <c r="Z88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88" s="139">
        <f>IF(ISBLANK(Table1368[[#This Row],[Date relisting]]),"",IF(ISBLANK(Table1368[[#This Row],[Date relisting]]),TODAY(),Table1368[[#This Row],[Date relisting]])-Table1368[[#This Row],[Date réception Achat]])</f>
        <v>2</v>
      </c>
      <c r="AB88" s="139">
        <f>IF(ISBLANK(Table1368[[#This Row],[Date revente]]),"",IF(ISBLANK(Table1368[[#This Row],[Date revente]]),TODAY(),Table1368[[#This Row],[Date revente]])-Table1368[[#This Row],[Date relisting]])</f>
        <v>14</v>
      </c>
      <c r="AC88" s="139">
        <f>IF(ISBLANK(Table1368[[#This Row],[Date revente]]),"",IF(ISBLANK(Table1368[[#This Row],[Date revente]]),TODAY(),Table1368[[#This Row],[Date revente]])-Table1368[[#This Row],[Date réception Achat]])</f>
        <v>16</v>
      </c>
      <c r="AD88" s="139">
        <f>IF(ISBLANK(Table1368[[#This Row],[Date revente]]),"",IF(ISBLANK(Table1368[[#This Row],[Date revente]]),TODAY(),Table1368[[#This Row],[Date revente]])-Table1368[[#This Row],[Date achat]])</f>
        <v>25</v>
      </c>
    </row>
    <row r="89" spans="1:30" x14ac:dyDescent="0.25">
      <c r="A89" s="134">
        <v>46028</v>
      </c>
      <c r="B89" s="141" t="s">
        <v>309</v>
      </c>
      <c r="C89" s="134" t="s">
        <v>354</v>
      </c>
      <c r="D89" s="127" t="s">
        <v>157</v>
      </c>
      <c r="E89" s="127"/>
      <c r="F89" s="127"/>
      <c r="G89" s="134" t="s">
        <v>228</v>
      </c>
      <c r="H89" s="127" t="s">
        <v>355</v>
      </c>
      <c r="I89" s="134" t="s">
        <v>160</v>
      </c>
      <c r="J89" s="134" t="s">
        <v>157</v>
      </c>
      <c r="K89" s="135">
        <v>6</v>
      </c>
      <c r="L89" s="135">
        <f>Table1368[[#This Row],[Prix total Achat]]-Table1368[[#This Row],[Prix article]]</f>
        <v>5.390000000000001</v>
      </c>
      <c r="M89" s="135">
        <v>11.39</v>
      </c>
      <c r="N89" s="134">
        <v>46041</v>
      </c>
      <c r="O89" s="136">
        <f>(Table1368[[#This Row],[Prix total Achat]]*2)</f>
        <v>22.78</v>
      </c>
      <c r="P89" s="136">
        <f>Table1368[[#This Row],[Prix Min voulu (x2 )]]*1.2</f>
        <v>27.336000000000002</v>
      </c>
      <c r="Q89" s="134">
        <v>46043</v>
      </c>
      <c r="R89" s="134">
        <v>46051</v>
      </c>
      <c r="S89" s="135">
        <v>35</v>
      </c>
      <c r="T89" s="134" t="s">
        <v>160</v>
      </c>
      <c r="U89" s="134" t="s">
        <v>157</v>
      </c>
      <c r="V89" s="137">
        <f>IF(ISBLANK(Table1368[[#This Row],[Date réception Achat]]),"",IF(ISBLANK(Table1368[[#This Row],[Date revente]]),TODAY(),Table1368[[#This Row],[Date revente]])-Table1368[[#This Row],[Date réception Achat]])</f>
        <v>10</v>
      </c>
      <c r="W8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89" s="135">
        <f>IF(Table1368[[#This Row],[Prix de revente]]="","",Table1368[[#This Row],[Prix de revente]]-Table1368[[#This Row],[Prix total Achat]])</f>
        <v>23.61</v>
      </c>
      <c r="Y89" s="138">
        <f>IF(Table1368[[#This Row],[Prix de revente]]="","",(Table1368[[#This Row],[Prix de revente]]/Table1368[[#This Row],[Prix total Achat]]))</f>
        <v>3.072870939420544</v>
      </c>
      <c r="Z89" s="139">
        <f>IF(ISBLANK(Table1368[[#This Row],[Date réception Achat]]),"",IF(ISBLANK(Table1368[[#This Row],[Date réception Achat]]),TODAY(),Table1368[[#This Row],[Date réception Achat]])-Table1368[[#This Row],[Date achat]])</f>
        <v>13</v>
      </c>
      <c r="AA89" s="139">
        <f>IF(ISBLANK(Table1368[[#This Row],[Date relisting]]),"",IF(ISBLANK(Table1368[[#This Row],[Date relisting]]),TODAY(),Table1368[[#This Row],[Date relisting]])-Table1368[[#This Row],[Date réception Achat]])</f>
        <v>2</v>
      </c>
      <c r="AB89" s="139">
        <f>IF(ISBLANK(Table1368[[#This Row],[Date revente]]),"",IF(ISBLANK(Table1368[[#This Row],[Date revente]]),TODAY(),Table1368[[#This Row],[Date revente]])-Table1368[[#This Row],[Date relisting]])</f>
        <v>8</v>
      </c>
      <c r="AC89" s="139">
        <f>IF(ISBLANK(Table1368[[#This Row],[Date revente]]),"",IF(ISBLANK(Table1368[[#This Row],[Date revente]]),TODAY(),Table1368[[#This Row],[Date revente]])-Table1368[[#This Row],[Date réception Achat]])</f>
        <v>10</v>
      </c>
      <c r="AD89" s="139">
        <f>IF(ISBLANK(Table1368[[#This Row],[Date revente]]),"",IF(ISBLANK(Table1368[[#This Row],[Date revente]]),TODAY(),Table1368[[#This Row],[Date revente]])-Table1368[[#This Row],[Date achat]])</f>
        <v>23</v>
      </c>
    </row>
    <row r="90" spans="1:30" x14ac:dyDescent="0.25">
      <c r="A90" s="134">
        <v>46028</v>
      </c>
      <c r="B90" s="141" t="s">
        <v>356</v>
      </c>
      <c r="C90" s="134" t="s">
        <v>357</v>
      </c>
      <c r="D90" s="127" t="s">
        <v>157</v>
      </c>
      <c r="E90" s="127"/>
      <c r="F90" s="127"/>
      <c r="G90" s="134" t="s">
        <v>358</v>
      </c>
      <c r="H90" s="127" t="s">
        <v>178</v>
      </c>
      <c r="I90" s="134" t="s">
        <v>160</v>
      </c>
      <c r="J90" s="134" t="s">
        <v>359</v>
      </c>
      <c r="K90" s="135">
        <v>3.5</v>
      </c>
      <c r="L90" s="135">
        <v>2.7</v>
      </c>
      <c r="M90" s="135">
        <v>6.2</v>
      </c>
      <c r="N90" s="134">
        <v>46045</v>
      </c>
      <c r="O90" s="136">
        <f>(Table1368[[#This Row],[Prix total Achat]]*2)</f>
        <v>12.4</v>
      </c>
      <c r="P90" s="136">
        <f>Table1368[[#This Row],[Prix Min voulu (x2 )]]*1.2</f>
        <v>14.879999999999999</v>
      </c>
      <c r="Q90" s="134">
        <v>46048</v>
      </c>
      <c r="R90" s="134">
        <v>46052</v>
      </c>
      <c r="S90" s="135">
        <v>42</v>
      </c>
      <c r="T90" s="134" t="s">
        <v>160</v>
      </c>
      <c r="U90" s="134" t="s">
        <v>157</v>
      </c>
      <c r="V90" s="137">
        <f>IF(ISBLANK(Table1368[[#This Row],[Date réception Achat]]),"",IF(ISBLANK(Table1368[[#This Row],[Date revente]]),TODAY(),Table1368[[#This Row],[Date revente]])-Table1368[[#This Row],[Date réception Achat]])</f>
        <v>7</v>
      </c>
      <c r="W9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0" s="135">
        <f>IF(Table1368[[#This Row],[Prix de revente]]="","",Table1368[[#This Row],[Prix de revente]]-Table1368[[#This Row],[Prix total Achat]])</f>
        <v>35.8</v>
      </c>
      <c r="Y90" s="138">
        <f>IF(Table1368[[#This Row],[Prix de revente]]="","",(Table1368[[#This Row],[Prix de revente]]/Table1368[[#This Row],[Prix total Achat]]))</f>
        <v>6.774193548387097</v>
      </c>
      <c r="Z90" s="139">
        <f>IF(ISBLANK(Table1368[[#This Row],[Date réception Achat]]),"",IF(ISBLANK(Table1368[[#This Row],[Date réception Achat]]),TODAY(),Table1368[[#This Row],[Date réception Achat]])-Table1368[[#This Row],[Date achat]])</f>
        <v>17</v>
      </c>
      <c r="AA90" s="139">
        <f>IF(ISBLANK(Table1368[[#This Row],[Date relisting]]),"",IF(ISBLANK(Table1368[[#This Row],[Date relisting]]),TODAY(),Table1368[[#This Row],[Date relisting]])-Table1368[[#This Row],[Date réception Achat]])</f>
        <v>3</v>
      </c>
      <c r="AB90" s="139">
        <f>IF(ISBLANK(Table1368[[#This Row],[Date revente]]),"",IF(ISBLANK(Table1368[[#This Row],[Date revente]]),TODAY(),Table1368[[#This Row],[Date revente]])-Table1368[[#This Row],[Date relisting]])</f>
        <v>4</v>
      </c>
      <c r="AC90" s="139">
        <f>IF(ISBLANK(Table1368[[#This Row],[Date revente]]),"",IF(ISBLANK(Table1368[[#This Row],[Date revente]]),TODAY(),Table1368[[#This Row],[Date revente]])-Table1368[[#This Row],[Date réception Achat]])</f>
        <v>7</v>
      </c>
      <c r="AD90" s="139">
        <f>IF(ISBLANK(Table1368[[#This Row],[Date revente]]),"",IF(ISBLANK(Table1368[[#This Row],[Date revente]]),TODAY(),Table1368[[#This Row],[Date revente]])-Table1368[[#This Row],[Date achat]])</f>
        <v>24</v>
      </c>
    </row>
    <row r="91" spans="1:30" x14ac:dyDescent="0.25">
      <c r="A91" s="134">
        <v>46028</v>
      </c>
      <c r="B91" s="145" t="s">
        <v>360</v>
      </c>
      <c r="C91" s="134" t="s">
        <v>361</v>
      </c>
      <c r="D91" s="127" t="s">
        <v>157</v>
      </c>
      <c r="E91" s="127"/>
      <c r="F91" s="127"/>
      <c r="G91" s="134" t="s">
        <v>233</v>
      </c>
      <c r="H91" s="127" t="s">
        <v>362</v>
      </c>
      <c r="I91" s="134" t="s">
        <v>160</v>
      </c>
      <c r="J91" s="134" t="s">
        <v>157</v>
      </c>
      <c r="K91" s="135">
        <v>20</v>
      </c>
      <c r="L91" s="135">
        <f>Table1368[[#This Row],[Prix total Achat]]-Table1368[[#This Row],[Prix article]]</f>
        <v>4.530000000000001</v>
      </c>
      <c r="M91" s="135">
        <v>24.53</v>
      </c>
      <c r="N91" s="134">
        <v>46042</v>
      </c>
      <c r="O91" s="136">
        <f>(Table1368[[#This Row],[Prix total Achat]]*2)</f>
        <v>49.06</v>
      </c>
      <c r="P91" s="136">
        <f>Table1368[[#This Row],[Prix Min voulu (x2 )]]*1.2</f>
        <v>58.872</v>
      </c>
      <c r="Q91" s="134">
        <v>46043</v>
      </c>
      <c r="R91" s="134">
        <v>46066</v>
      </c>
      <c r="S91" s="135">
        <v>32</v>
      </c>
      <c r="T91" s="134" t="s">
        <v>160</v>
      </c>
      <c r="U91" s="134" t="s">
        <v>157</v>
      </c>
      <c r="V91" s="137">
        <f>IF(ISBLANK(Table1368[[#This Row],[Date réception Achat]]),"",IF(ISBLANK(Table1368[[#This Row],[Date revente]]),TODAY(),Table1368[[#This Row],[Date revente]])-Table1368[[#This Row],[Date réception Achat]])</f>
        <v>24</v>
      </c>
      <c r="W9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1" s="135">
        <f>IF(Table1368[[#This Row],[Prix de revente]]="","",Table1368[[#This Row],[Prix de revente]]-Table1368[[#This Row],[Prix total Achat]])</f>
        <v>7.469999999999999</v>
      </c>
      <c r="Y91" s="138">
        <f>IF(Table1368[[#This Row],[Prix de revente]]="","",(Table1368[[#This Row],[Prix de revente]]/Table1368[[#This Row],[Prix total Achat]]))</f>
        <v>1.3045250713412149</v>
      </c>
      <c r="Z91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91" s="139">
        <f>IF(ISBLANK(Table1368[[#This Row],[Date relisting]]),"",IF(ISBLANK(Table1368[[#This Row],[Date relisting]]),TODAY(),Table1368[[#This Row],[Date relisting]])-Table1368[[#This Row],[Date réception Achat]])</f>
        <v>1</v>
      </c>
      <c r="AB91" s="139">
        <f>IF(ISBLANK(Table1368[[#This Row],[Date revente]]),"",IF(ISBLANK(Table1368[[#This Row],[Date revente]]),TODAY(),Table1368[[#This Row],[Date revente]])-Table1368[[#This Row],[Date relisting]])</f>
        <v>23</v>
      </c>
      <c r="AC91" s="139">
        <f>IF(ISBLANK(Table1368[[#This Row],[Date revente]]),"",IF(ISBLANK(Table1368[[#This Row],[Date revente]]),TODAY(),Table1368[[#This Row],[Date revente]])-Table1368[[#This Row],[Date réception Achat]])</f>
        <v>24</v>
      </c>
      <c r="AD91" s="139">
        <f>IF(ISBLANK(Table1368[[#This Row],[Date revente]]),"",IF(ISBLANK(Table1368[[#This Row],[Date revente]]),TODAY(),Table1368[[#This Row],[Date revente]])-Table1368[[#This Row],[Date achat]])</f>
        <v>38</v>
      </c>
    </row>
    <row r="92" spans="1:30" x14ac:dyDescent="0.25">
      <c r="A92" s="134">
        <v>46028</v>
      </c>
      <c r="B92" s="141" t="s">
        <v>356</v>
      </c>
      <c r="C92" s="134" t="s">
        <v>363</v>
      </c>
      <c r="D92" s="127" t="s">
        <v>157</v>
      </c>
      <c r="E92" s="127"/>
      <c r="F92" s="127"/>
      <c r="G92" s="134" t="s">
        <v>358</v>
      </c>
      <c r="H92" s="127" t="s">
        <v>164</v>
      </c>
      <c r="I92" s="134" t="s">
        <v>160</v>
      </c>
      <c r="J92" s="134" t="s">
        <v>359</v>
      </c>
      <c r="K92" s="135">
        <v>3.5</v>
      </c>
      <c r="L92" s="135">
        <v>2.7</v>
      </c>
      <c r="M92" s="135">
        <v>6.2</v>
      </c>
      <c r="N92" s="134">
        <v>46045</v>
      </c>
      <c r="O92" s="136">
        <f>(Table1368[[#This Row],[Prix total Achat]]*2)</f>
        <v>12.4</v>
      </c>
      <c r="P92" s="136">
        <f>Table1368[[#This Row],[Prix Min voulu (x2 )]]*1.2</f>
        <v>14.879999999999999</v>
      </c>
      <c r="Q92" s="134">
        <v>46048</v>
      </c>
      <c r="R92" s="134">
        <v>46087</v>
      </c>
      <c r="S92" s="135">
        <v>29</v>
      </c>
      <c r="T92" s="134" t="s">
        <v>160</v>
      </c>
      <c r="U92" s="134" t="s">
        <v>157</v>
      </c>
      <c r="V92" s="137">
        <f>IF(ISBLANK(Table1368[[#This Row],[Date réception Achat]]),"",IF(ISBLANK(Table1368[[#This Row],[Date revente]]),TODAY(),Table1368[[#This Row],[Date revente]])-Table1368[[#This Row],[Date réception Achat]])</f>
        <v>42</v>
      </c>
      <c r="W9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2" s="135">
        <f>IF(Table1368[[#This Row],[Prix de revente]]="","",Table1368[[#This Row],[Prix de revente]]-Table1368[[#This Row],[Prix total Achat]])</f>
        <v>22.8</v>
      </c>
      <c r="Y92" s="138">
        <f>IF(Table1368[[#This Row],[Prix de revente]]="","",(Table1368[[#This Row],[Prix de revente]]/Table1368[[#This Row],[Prix total Achat]]))</f>
        <v>4.67741935483871</v>
      </c>
      <c r="Z92" s="139">
        <f>IF(ISBLANK(Table1368[[#This Row],[Date réception Achat]]),"",IF(ISBLANK(Table1368[[#This Row],[Date réception Achat]]),TODAY(),Table1368[[#This Row],[Date réception Achat]])-Table1368[[#This Row],[Date achat]])</f>
        <v>17</v>
      </c>
      <c r="AA92" s="139">
        <f>IF(ISBLANK(Table1368[[#This Row],[Date relisting]]),"",IF(ISBLANK(Table1368[[#This Row],[Date relisting]]),TODAY(),Table1368[[#This Row],[Date relisting]])-Table1368[[#This Row],[Date réception Achat]])</f>
        <v>3</v>
      </c>
      <c r="AB92" s="139">
        <f>IF(ISBLANK(Table1368[[#This Row],[Date revente]]),"",IF(ISBLANK(Table1368[[#This Row],[Date revente]]),TODAY(),Table1368[[#This Row],[Date revente]])-Table1368[[#This Row],[Date relisting]])</f>
        <v>39</v>
      </c>
      <c r="AC92" s="139">
        <f>IF(ISBLANK(Table1368[[#This Row],[Date revente]]),"",IF(ISBLANK(Table1368[[#This Row],[Date revente]]),TODAY(),Table1368[[#This Row],[Date revente]])-Table1368[[#This Row],[Date réception Achat]])</f>
        <v>42</v>
      </c>
      <c r="AD92" s="139">
        <f>IF(ISBLANK(Table1368[[#This Row],[Date revente]]),"",IF(ISBLANK(Table1368[[#This Row],[Date revente]]),TODAY(),Table1368[[#This Row],[Date revente]])-Table1368[[#This Row],[Date achat]])</f>
        <v>59</v>
      </c>
    </row>
    <row r="93" spans="1:30" x14ac:dyDescent="0.25">
      <c r="A93" s="134">
        <v>46029</v>
      </c>
      <c r="B93" s="141" t="s">
        <v>364</v>
      </c>
      <c r="C93" s="134" t="s">
        <v>365</v>
      </c>
      <c r="D93" s="127" t="s">
        <v>157</v>
      </c>
      <c r="E93" s="127"/>
      <c r="F93" s="127"/>
      <c r="G93" s="134" t="s">
        <v>170</v>
      </c>
      <c r="H93" s="127" t="s">
        <v>164</v>
      </c>
      <c r="I93" s="134" t="s">
        <v>160</v>
      </c>
      <c r="J93" s="134" t="s">
        <v>189</v>
      </c>
      <c r="K93" s="135">
        <v>45</v>
      </c>
      <c r="L93" s="135">
        <v>4.78</v>
      </c>
      <c r="M93" s="135">
        <v>49.78</v>
      </c>
      <c r="N93" s="134">
        <v>46035</v>
      </c>
      <c r="O93" s="136">
        <f>(Table1368[[#This Row],[Prix total Achat]]*2)</f>
        <v>99.56</v>
      </c>
      <c r="P93" s="136">
        <f>Table1368[[#This Row],[Prix Min voulu (x2 )]]*1.2</f>
        <v>119.472</v>
      </c>
      <c r="Q93" s="134">
        <v>46039</v>
      </c>
      <c r="R93" s="134">
        <v>46048</v>
      </c>
      <c r="S93" s="135">
        <v>89</v>
      </c>
      <c r="T93" s="134" t="s">
        <v>160</v>
      </c>
      <c r="U93" s="134" t="s">
        <v>157</v>
      </c>
      <c r="V93" s="137">
        <f>IF(ISBLANK(Table1368[[#This Row],[Date réception Achat]]),"",IF(ISBLANK(Table1368[[#This Row],[Date revente]]),TODAY(),Table1368[[#This Row],[Date revente]])-Table1368[[#This Row],[Date réception Achat]])</f>
        <v>13</v>
      </c>
      <c r="W9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3" s="135">
        <f>IF(Table1368[[#This Row],[Prix de revente]]="","",Table1368[[#This Row],[Prix de revente]]-Table1368[[#This Row],[Prix total Achat]])</f>
        <v>39.22</v>
      </c>
      <c r="Y93" s="138">
        <f>IF(Table1368[[#This Row],[Prix de revente]]="","",(Table1368[[#This Row],[Prix de revente]]/Table1368[[#This Row],[Prix total Achat]]))</f>
        <v>1.7878666130976295</v>
      </c>
      <c r="Z93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93" s="139">
        <f>IF(ISBLANK(Table1368[[#This Row],[Date relisting]]),"",IF(ISBLANK(Table1368[[#This Row],[Date relisting]]),TODAY(),Table1368[[#This Row],[Date relisting]])-Table1368[[#This Row],[Date réception Achat]])</f>
        <v>4</v>
      </c>
      <c r="AB93" s="139">
        <f>IF(ISBLANK(Table1368[[#This Row],[Date revente]]),"",IF(ISBLANK(Table1368[[#This Row],[Date revente]]),TODAY(),Table1368[[#This Row],[Date revente]])-Table1368[[#This Row],[Date relisting]])</f>
        <v>9</v>
      </c>
      <c r="AC93" s="139">
        <f>IF(ISBLANK(Table1368[[#This Row],[Date revente]]),"",IF(ISBLANK(Table1368[[#This Row],[Date revente]]),TODAY(),Table1368[[#This Row],[Date revente]])-Table1368[[#This Row],[Date réception Achat]])</f>
        <v>13</v>
      </c>
      <c r="AD93" s="139">
        <f>IF(ISBLANK(Table1368[[#This Row],[Date revente]]),"",IF(ISBLANK(Table1368[[#This Row],[Date revente]]),TODAY(),Table1368[[#This Row],[Date revente]])-Table1368[[#This Row],[Date achat]])</f>
        <v>19</v>
      </c>
    </row>
    <row r="94" spans="1:30" x14ac:dyDescent="0.25">
      <c r="A94" s="134">
        <v>46029</v>
      </c>
      <c r="B94" s="141" t="s">
        <v>366</v>
      </c>
      <c r="C94" s="134" t="s">
        <v>367</v>
      </c>
      <c r="D94" s="127" t="s">
        <v>157</v>
      </c>
      <c r="E94" s="127"/>
      <c r="F94" s="127"/>
      <c r="G94" s="134" t="s">
        <v>170</v>
      </c>
      <c r="H94" s="127" t="s">
        <v>164</v>
      </c>
      <c r="I94" s="134" t="s">
        <v>160</v>
      </c>
      <c r="J94" s="134" t="s">
        <v>189</v>
      </c>
      <c r="K94" s="135">
        <v>45</v>
      </c>
      <c r="L94" s="135">
        <v>4.78</v>
      </c>
      <c r="M94" s="135">
        <v>49.78</v>
      </c>
      <c r="N94" s="134">
        <v>46035</v>
      </c>
      <c r="O94" s="136">
        <f>(Table1368[[#This Row],[Prix total Achat]]*2)</f>
        <v>99.56</v>
      </c>
      <c r="P94" s="136">
        <f>Table1368[[#This Row],[Prix Min voulu (x2 )]]*1.2</f>
        <v>119.472</v>
      </c>
      <c r="Q94" s="134">
        <v>46039</v>
      </c>
      <c r="R94" s="134">
        <v>46048</v>
      </c>
      <c r="S94" s="135">
        <v>89</v>
      </c>
      <c r="T94" s="134" t="s">
        <v>160</v>
      </c>
      <c r="U94" s="134" t="s">
        <v>157</v>
      </c>
      <c r="V94" s="137">
        <f>IF(ISBLANK(Table1368[[#This Row],[Date réception Achat]]),"",IF(ISBLANK(Table1368[[#This Row],[Date revente]]),TODAY(),Table1368[[#This Row],[Date revente]])-Table1368[[#This Row],[Date réception Achat]])</f>
        <v>13</v>
      </c>
      <c r="W9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4" s="135">
        <f>IF(Table1368[[#This Row],[Prix de revente]]="","",Table1368[[#This Row],[Prix de revente]]-Table1368[[#This Row],[Prix total Achat]])</f>
        <v>39.22</v>
      </c>
      <c r="Y94" s="138">
        <f>IF(Table1368[[#This Row],[Prix de revente]]="","",(Table1368[[#This Row],[Prix de revente]]/Table1368[[#This Row],[Prix total Achat]]))</f>
        <v>1.7878666130976295</v>
      </c>
      <c r="Z94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94" s="139">
        <f>IF(ISBLANK(Table1368[[#This Row],[Date relisting]]),"",IF(ISBLANK(Table1368[[#This Row],[Date relisting]]),TODAY(),Table1368[[#This Row],[Date relisting]])-Table1368[[#This Row],[Date réception Achat]])</f>
        <v>4</v>
      </c>
      <c r="AB94" s="139">
        <f>IF(ISBLANK(Table1368[[#This Row],[Date revente]]),"",IF(ISBLANK(Table1368[[#This Row],[Date revente]]),TODAY(),Table1368[[#This Row],[Date revente]])-Table1368[[#This Row],[Date relisting]])</f>
        <v>9</v>
      </c>
      <c r="AC94" s="139">
        <f>IF(ISBLANK(Table1368[[#This Row],[Date revente]]),"",IF(ISBLANK(Table1368[[#This Row],[Date revente]]),TODAY(),Table1368[[#This Row],[Date revente]])-Table1368[[#This Row],[Date réception Achat]])</f>
        <v>13</v>
      </c>
      <c r="AD94" s="139">
        <f>IF(ISBLANK(Table1368[[#This Row],[Date revente]]),"",IF(ISBLANK(Table1368[[#This Row],[Date revente]]),TODAY(),Table1368[[#This Row],[Date revente]])-Table1368[[#This Row],[Date achat]])</f>
        <v>19</v>
      </c>
    </row>
    <row r="95" spans="1:30" x14ac:dyDescent="0.25">
      <c r="A95" s="134">
        <v>46030</v>
      </c>
      <c r="B95" s="146" t="s">
        <v>368</v>
      </c>
      <c r="C95" s="134" t="s">
        <v>369</v>
      </c>
      <c r="D95" s="127" t="s">
        <v>157</v>
      </c>
      <c r="E95" s="127"/>
      <c r="F95" s="127"/>
      <c r="G95" s="147" t="s">
        <v>163</v>
      </c>
      <c r="H95" s="147" t="s">
        <v>174</v>
      </c>
      <c r="I95" s="134" t="s">
        <v>165</v>
      </c>
      <c r="J95" s="134" t="s">
        <v>157</v>
      </c>
      <c r="K95" s="135">
        <v>18.7</v>
      </c>
      <c r="L95" s="135">
        <f>Table1368[[#This Row],[Prix total Achat]]-Table1368[[#This Row],[Prix article]]</f>
        <v>24.323545454545457</v>
      </c>
      <c r="M95" s="135">
        <v>43.023545454545456</v>
      </c>
      <c r="N95" s="134">
        <v>46056</v>
      </c>
      <c r="O95" s="136">
        <f>(Table1368[[#This Row],[Prix total Achat]]*2)</f>
        <v>86.04709090909091</v>
      </c>
      <c r="P95" s="136">
        <f>Table1368[[#This Row],[Prix Min voulu (x2 )]]*1.2</f>
        <v>103.25650909090909</v>
      </c>
      <c r="Q95" s="134">
        <v>46057</v>
      </c>
      <c r="R95" s="134">
        <v>46064</v>
      </c>
      <c r="S95" s="135">
        <v>90</v>
      </c>
      <c r="T95" s="134" t="s">
        <v>160</v>
      </c>
      <c r="U95" s="134" t="s">
        <v>157</v>
      </c>
      <c r="V95" s="137">
        <f>IF(ISBLANK(Table1368[[#This Row],[Date réception Achat]]),"",IF(ISBLANK(Table1368[[#This Row],[Date revente]]),TODAY(),Table1368[[#This Row],[Date revente]])-Table1368[[#This Row],[Date réception Achat]])</f>
        <v>8</v>
      </c>
      <c r="W9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5" s="135">
        <f>IF(Table1368[[#This Row],[Prix de revente]]="","",Table1368[[#This Row],[Prix de revente]]-Table1368[[#This Row],[Prix total Achat]])</f>
        <v>46.976454545454544</v>
      </c>
      <c r="Y95" s="138">
        <f>IF(Table1368[[#This Row],[Prix de revente]]="","",(Table1368[[#This Row],[Prix de revente]]/Table1368[[#This Row],[Prix total Achat]]))</f>
        <v>2.0918778089798606</v>
      </c>
      <c r="Z95" s="139">
        <f>IF(ISBLANK(Table1368[[#This Row],[Date réception Achat]]),"",IF(ISBLANK(Table1368[[#This Row],[Date réception Achat]]),TODAY(),Table1368[[#This Row],[Date réception Achat]])-Table1368[[#This Row],[Date achat]])</f>
        <v>26</v>
      </c>
      <c r="AA95" s="139">
        <f>IF(ISBLANK(Table1368[[#This Row],[Date relisting]]),"",IF(ISBLANK(Table1368[[#This Row],[Date relisting]]),TODAY(),Table1368[[#This Row],[Date relisting]])-Table1368[[#This Row],[Date réception Achat]])</f>
        <v>1</v>
      </c>
      <c r="AB95" s="139">
        <f>IF(ISBLANK(Table1368[[#This Row],[Date revente]]),"",IF(ISBLANK(Table1368[[#This Row],[Date revente]]),TODAY(),Table1368[[#This Row],[Date revente]])-Table1368[[#This Row],[Date relisting]])</f>
        <v>7</v>
      </c>
      <c r="AC95" s="139">
        <f>IF(ISBLANK(Table1368[[#This Row],[Date revente]]),"",IF(ISBLANK(Table1368[[#This Row],[Date revente]]),TODAY(),Table1368[[#This Row],[Date revente]])-Table1368[[#This Row],[Date réception Achat]])</f>
        <v>8</v>
      </c>
      <c r="AD95" s="139">
        <f>IF(ISBLANK(Table1368[[#This Row],[Date revente]]),"",IF(ISBLANK(Table1368[[#This Row],[Date revente]]),TODAY(),Table1368[[#This Row],[Date revente]])-Table1368[[#This Row],[Date achat]])</f>
        <v>34</v>
      </c>
    </row>
    <row r="96" spans="1:30" x14ac:dyDescent="0.25">
      <c r="A96" s="134">
        <v>46030</v>
      </c>
      <c r="B96" s="146" t="s">
        <v>370</v>
      </c>
      <c r="C96" s="134" t="s">
        <v>371</v>
      </c>
      <c r="D96" s="127" t="s">
        <v>157</v>
      </c>
      <c r="E96" s="127"/>
      <c r="F96" s="127"/>
      <c r="G96" s="147" t="s">
        <v>163</v>
      </c>
      <c r="H96" s="147" t="s">
        <v>174</v>
      </c>
      <c r="I96" s="134" t="s">
        <v>165</v>
      </c>
      <c r="J96" s="134" t="s">
        <v>157</v>
      </c>
      <c r="K96" s="135">
        <v>17.05</v>
      </c>
      <c r="L96" s="135">
        <f>Table1368[[#This Row],[Prix total Achat]]-Table1368[[#This Row],[Prix article]]</f>
        <v>24.323545454545457</v>
      </c>
      <c r="M96" s="135">
        <v>41.37354545454546</v>
      </c>
      <c r="N96" s="134">
        <v>46056</v>
      </c>
      <c r="O96" s="136">
        <f>(Table1368[[#This Row],[Prix total Achat]]*2)</f>
        <v>82.74709090909091</v>
      </c>
      <c r="P96" s="136">
        <f>Table1368[[#This Row],[Prix Min voulu (x2 )]]*1.2</f>
        <v>99.2965090909091</v>
      </c>
      <c r="Q96" s="134">
        <v>46057</v>
      </c>
      <c r="R96" s="134"/>
      <c r="S96" s="135"/>
      <c r="T96" s="134"/>
      <c r="U96" s="134" t="s">
        <v>157</v>
      </c>
      <c r="V96" s="137">
        <f>IF(ISBLANK(Table1368[[#This Row],[Date réception Achat]]),"",IF(ISBLANK(Table1368[[#This Row],[Date revente]]),TODAY(),Table1368[[#This Row],[Date revente]])-Table1368[[#This Row],[Date réception Achat]])</f>
        <v>247</v>
      </c>
      <c r="W9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96" s="135">
        <f>IF(Table1368[[#This Row],[Prix de revente]]="","",Table1368[[#This Row],[Prix de revente]]-Table1368[[#This Row],[Prix total Achat]])</f>
      </c>
      <c r="Y96" s="138">
        <f>IF(Table1368[[#This Row],[Prix de revente]]="","",(Table1368[[#This Row],[Prix de revente]]/Table1368[[#This Row],[Prix total Achat]]))</f>
      </c>
      <c r="Z96" s="139">
        <f>IF(ISBLANK(Table1368[[#This Row],[Date réception Achat]]),"",IF(ISBLANK(Table1368[[#This Row],[Date réception Achat]]),TODAY(),Table1368[[#This Row],[Date réception Achat]])-Table1368[[#This Row],[Date achat]])</f>
        <v>26</v>
      </c>
      <c r="AA96" s="139">
        <f>IF(ISBLANK(Table1368[[#This Row],[Date relisting]]),"",IF(ISBLANK(Table1368[[#This Row],[Date relisting]]),TODAY(),Table1368[[#This Row],[Date relisting]])-Table1368[[#This Row],[Date réception Achat]])</f>
        <v>1</v>
      </c>
      <c r="AB96" s="139">
        <f>IF(ISBLANK(Table1368[[#This Row],[Date revente]]),"",IF(ISBLANK(Table1368[[#This Row],[Date revente]]),TODAY(),Table1368[[#This Row],[Date revente]])-Table1368[[#This Row],[Date relisting]])</f>
      </c>
      <c r="AC96" s="139">
        <f>IF(ISBLANK(Table1368[[#This Row],[Date revente]]),"",IF(ISBLANK(Table1368[[#This Row],[Date revente]]),TODAY(),Table1368[[#This Row],[Date revente]])-Table1368[[#This Row],[Date réception Achat]])</f>
      </c>
      <c r="AD96" s="139">
        <f>IF(ISBLANK(Table1368[[#This Row],[Date revente]]),"",IF(ISBLANK(Table1368[[#This Row],[Date revente]]),TODAY(),Table1368[[#This Row],[Date revente]])-Table1368[[#This Row],[Date achat]])</f>
      </c>
    </row>
    <row r="97" spans="1:30" x14ac:dyDescent="0.25">
      <c r="A97" s="134">
        <v>46030</v>
      </c>
      <c r="B97" s="146" t="s">
        <v>372</v>
      </c>
      <c r="C97" s="134" t="s">
        <v>373</v>
      </c>
      <c r="D97" s="127" t="s">
        <v>157</v>
      </c>
      <c r="E97" s="127"/>
      <c r="F97" s="127"/>
      <c r="G97" s="147" t="s">
        <v>163</v>
      </c>
      <c r="H97" s="147" t="s">
        <v>174</v>
      </c>
      <c r="I97" s="134" t="s">
        <v>165</v>
      </c>
      <c r="J97" s="134" t="s">
        <v>157</v>
      </c>
      <c r="K97" s="135">
        <v>19.2995</v>
      </c>
      <c r="L97" s="135">
        <f>Table1368[[#This Row],[Prix total Achat]]-Table1368[[#This Row],[Prix article]]</f>
        <v>24.323545454545457</v>
      </c>
      <c r="M97" s="135">
        <v>43.623045454545455</v>
      </c>
      <c r="N97" s="134">
        <v>46056</v>
      </c>
      <c r="O97" s="136">
        <f>(Table1368[[#This Row],[Prix total Achat]]*2)</f>
        <v>87.24609090909091</v>
      </c>
      <c r="P97" s="136">
        <f>Table1368[[#This Row],[Prix Min voulu (x2 )]]*1.2</f>
        <v>104.69530909090909</v>
      </c>
      <c r="Q97" s="134">
        <v>46057</v>
      </c>
      <c r="R97" s="134">
        <v>46083</v>
      </c>
      <c r="S97" s="135">
        <v>85.5</v>
      </c>
      <c r="T97" s="134" t="s">
        <v>160</v>
      </c>
      <c r="U97" s="134" t="s">
        <v>157</v>
      </c>
      <c r="V97" s="137">
        <f>IF(ISBLANK(Table1368[[#This Row],[Date réception Achat]]),"",IF(ISBLANK(Table1368[[#This Row],[Date revente]]),TODAY(),Table1368[[#This Row],[Date revente]])-Table1368[[#This Row],[Date réception Achat]])</f>
        <v>27</v>
      </c>
      <c r="W9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7" s="135">
        <f>IF(Table1368[[#This Row],[Prix de revente]]="","",Table1368[[#This Row],[Prix de revente]]-Table1368[[#This Row],[Prix total Achat]])</f>
        <v>41.876954545454545</v>
      </c>
      <c r="Y97" s="138">
        <f>IF(Table1368[[#This Row],[Prix de revente]]="","",(Table1368[[#This Row],[Prix de revente]]/Table1368[[#This Row],[Prix total Achat]]))</f>
        <v>1.9599732001537968</v>
      </c>
      <c r="Z97" s="139">
        <f>IF(ISBLANK(Table1368[[#This Row],[Date réception Achat]]),"",IF(ISBLANK(Table1368[[#This Row],[Date réception Achat]]),TODAY(),Table1368[[#This Row],[Date réception Achat]])-Table1368[[#This Row],[Date achat]])</f>
        <v>26</v>
      </c>
      <c r="AA97" s="139">
        <f>IF(ISBLANK(Table1368[[#This Row],[Date relisting]]),"",IF(ISBLANK(Table1368[[#This Row],[Date relisting]]),TODAY(),Table1368[[#This Row],[Date relisting]])-Table1368[[#This Row],[Date réception Achat]])</f>
        <v>1</v>
      </c>
      <c r="AB97" s="139">
        <f>IF(ISBLANK(Table1368[[#This Row],[Date revente]]),"",IF(ISBLANK(Table1368[[#This Row],[Date revente]]),TODAY(),Table1368[[#This Row],[Date revente]])-Table1368[[#This Row],[Date relisting]])</f>
        <v>26</v>
      </c>
      <c r="AC97" s="139">
        <f>IF(ISBLANK(Table1368[[#This Row],[Date revente]]),"",IF(ISBLANK(Table1368[[#This Row],[Date revente]]),TODAY(),Table1368[[#This Row],[Date revente]])-Table1368[[#This Row],[Date réception Achat]])</f>
        <v>27</v>
      </c>
      <c r="AD97" s="139">
        <f>IF(ISBLANK(Table1368[[#This Row],[Date revente]]),"",IF(ISBLANK(Table1368[[#This Row],[Date revente]]),TODAY(),Table1368[[#This Row],[Date revente]])-Table1368[[#This Row],[Date achat]])</f>
        <v>53</v>
      </c>
    </row>
    <row r="98" spans="1:30" x14ac:dyDescent="0.25">
      <c r="A98" s="134">
        <v>46033</v>
      </c>
      <c r="B98" s="141" t="s">
        <v>374</v>
      </c>
      <c r="C98" s="134" t="s">
        <v>375</v>
      </c>
      <c r="D98" s="127" t="s">
        <v>157</v>
      </c>
      <c r="E98" s="127"/>
      <c r="F98" s="127"/>
      <c r="G98" s="134" t="s">
        <v>374</v>
      </c>
      <c r="H98" s="127" t="s">
        <v>178</v>
      </c>
      <c r="I98" s="134" t="s">
        <v>160</v>
      </c>
      <c r="J98" s="134" t="s">
        <v>157</v>
      </c>
      <c r="K98" s="135">
        <v>20</v>
      </c>
      <c r="L98" s="135">
        <f>Table1368[[#This Row],[Prix total Achat]]-Table1368[[#This Row],[Prix article]]</f>
        <v>4.690000000000001</v>
      </c>
      <c r="M98" s="135">
        <v>24.69</v>
      </c>
      <c r="N98" s="134">
        <v>46041</v>
      </c>
      <c r="O98" s="136">
        <f>(Table1368[[#This Row],[Prix total Achat]]*2)</f>
        <v>49.38</v>
      </c>
      <c r="P98" s="136">
        <f>Table1368[[#This Row],[Prix Min voulu (x2 )]]*1.2</f>
        <v>59.256</v>
      </c>
      <c r="Q98" s="134">
        <v>46043</v>
      </c>
      <c r="R98" s="134">
        <v>46046</v>
      </c>
      <c r="S98" s="135">
        <v>48</v>
      </c>
      <c r="T98" s="134" t="s">
        <v>160</v>
      </c>
      <c r="U98" s="134" t="s">
        <v>157</v>
      </c>
      <c r="V98" s="137">
        <f>IF(ISBLANK(Table1368[[#This Row],[Date réception Achat]]),"",IF(ISBLANK(Table1368[[#This Row],[Date revente]]),TODAY(),Table1368[[#This Row],[Date revente]])-Table1368[[#This Row],[Date réception Achat]])</f>
        <v>5</v>
      </c>
      <c r="W9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8" s="135">
        <f>IF(Table1368[[#This Row],[Prix de revente]]="","",Table1368[[#This Row],[Prix de revente]]-Table1368[[#This Row],[Prix total Achat]])</f>
        <v>23.31</v>
      </c>
      <c r="Y98" s="138">
        <f>IF(Table1368[[#This Row],[Prix de revente]]="","",(Table1368[[#This Row],[Prix de revente]]/Table1368[[#This Row],[Prix total Achat]]))</f>
        <v>1.9441069258809234</v>
      </c>
      <c r="Z98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98" s="139">
        <f>IF(ISBLANK(Table1368[[#This Row],[Date relisting]]),"",IF(ISBLANK(Table1368[[#This Row],[Date relisting]]),TODAY(),Table1368[[#This Row],[Date relisting]])-Table1368[[#This Row],[Date réception Achat]])</f>
        <v>2</v>
      </c>
      <c r="AB98" s="139">
        <f>IF(ISBLANK(Table1368[[#This Row],[Date revente]]),"",IF(ISBLANK(Table1368[[#This Row],[Date revente]]),TODAY(),Table1368[[#This Row],[Date revente]])-Table1368[[#This Row],[Date relisting]])</f>
        <v>3</v>
      </c>
      <c r="AC98" s="139">
        <f>IF(ISBLANK(Table1368[[#This Row],[Date revente]]),"",IF(ISBLANK(Table1368[[#This Row],[Date revente]]),TODAY(),Table1368[[#This Row],[Date revente]])-Table1368[[#This Row],[Date réception Achat]])</f>
        <v>5</v>
      </c>
      <c r="AD98" s="139">
        <f>IF(ISBLANK(Table1368[[#This Row],[Date revente]]),"",IF(ISBLANK(Table1368[[#This Row],[Date revente]]),TODAY(),Table1368[[#This Row],[Date revente]])-Table1368[[#This Row],[Date achat]])</f>
        <v>13</v>
      </c>
    </row>
    <row r="99" spans="1:30" x14ac:dyDescent="0.25">
      <c r="A99" s="134">
        <v>46035</v>
      </c>
      <c r="B99" s="148" t="s">
        <v>376</v>
      </c>
      <c r="C99" s="134" t="s">
        <v>377</v>
      </c>
      <c r="D99" s="127" t="s">
        <v>157</v>
      </c>
      <c r="E99" s="127"/>
      <c r="F99" s="127"/>
      <c r="G99" s="149" t="s">
        <v>378</v>
      </c>
      <c r="H99" s="147" t="s">
        <v>379</v>
      </c>
      <c r="I99" s="134" t="s">
        <v>165</v>
      </c>
      <c r="J99" s="134" t="s">
        <v>157</v>
      </c>
      <c r="K99" s="135">
        <v>21.945</v>
      </c>
      <c r="L99" s="135">
        <f>Table1368[[#This Row],[Prix total Achat]]-Table1368[[#This Row],[Prix article]]</f>
        <v>24.32354545454546</v>
      </c>
      <c r="M99" s="135">
        <v>46.26854545454546</v>
      </c>
      <c r="N99" s="134">
        <v>46056</v>
      </c>
      <c r="O99" s="136">
        <f>(Table1368[[#This Row],[Prix total Achat]]*2)</f>
        <v>92.53709090909092</v>
      </c>
      <c r="P99" s="136">
        <f>Table1368[[#This Row],[Prix Min voulu (x2 )]]*1.2</f>
        <v>111.0445090909091</v>
      </c>
      <c r="Q99" s="134">
        <v>46057</v>
      </c>
      <c r="R99" s="134">
        <v>46058</v>
      </c>
      <c r="S99" s="135">
        <v>140</v>
      </c>
      <c r="T99" s="134" t="s">
        <v>160</v>
      </c>
      <c r="U99" s="134" t="s">
        <v>157</v>
      </c>
      <c r="V99" s="137">
        <f>IF(ISBLANK(Table1368[[#This Row],[Date réception Achat]]),"",IF(ISBLANK(Table1368[[#This Row],[Date revente]]),TODAY(),Table1368[[#This Row],[Date revente]])-Table1368[[#This Row],[Date réception Achat]])</f>
        <v>2</v>
      </c>
      <c r="W9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99" s="135">
        <f>IF(Table1368[[#This Row],[Prix de revente]]="","",Table1368[[#This Row],[Prix de revente]]-Table1368[[#This Row],[Prix total Achat]])</f>
        <v>93.73145454545454</v>
      </c>
      <c r="Y99" s="138">
        <f>IF(Table1368[[#This Row],[Prix de revente]]="","",(Table1368[[#This Row],[Prix de revente]]/Table1368[[#This Row],[Prix total Achat]]))</f>
        <v>3.0258137277632158</v>
      </c>
      <c r="Z99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99" s="139">
        <f>IF(ISBLANK(Table1368[[#This Row],[Date relisting]]),"",IF(ISBLANK(Table1368[[#This Row],[Date relisting]]),TODAY(),Table1368[[#This Row],[Date relisting]])-Table1368[[#This Row],[Date réception Achat]])</f>
        <v>1</v>
      </c>
      <c r="AB99" s="139">
        <f>IF(ISBLANK(Table1368[[#This Row],[Date revente]]),"",IF(ISBLANK(Table1368[[#This Row],[Date revente]]),TODAY(),Table1368[[#This Row],[Date revente]])-Table1368[[#This Row],[Date relisting]])</f>
        <v>1</v>
      </c>
      <c r="AC99" s="139">
        <f>IF(ISBLANK(Table1368[[#This Row],[Date revente]]),"",IF(ISBLANK(Table1368[[#This Row],[Date revente]]),TODAY(),Table1368[[#This Row],[Date revente]])-Table1368[[#This Row],[Date réception Achat]])</f>
        <v>2</v>
      </c>
      <c r="AD99" s="139">
        <f>IF(ISBLANK(Table1368[[#This Row],[Date revente]]),"",IF(ISBLANK(Table1368[[#This Row],[Date revente]]),TODAY(),Table1368[[#This Row],[Date revente]])-Table1368[[#This Row],[Date achat]])</f>
        <v>23</v>
      </c>
    </row>
    <row r="100" spans="1:30" x14ac:dyDescent="0.25">
      <c r="A100" s="134">
        <v>46035</v>
      </c>
      <c r="B100" s="146" t="s">
        <v>380</v>
      </c>
      <c r="C100" s="134" t="s">
        <v>381</v>
      </c>
      <c r="D100" s="127" t="s">
        <v>157</v>
      </c>
      <c r="E100" s="127"/>
      <c r="F100" s="127"/>
      <c r="G100" s="149" t="s">
        <v>382</v>
      </c>
      <c r="H100" s="149" t="s">
        <v>383</v>
      </c>
      <c r="I100" s="134" t="s">
        <v>165</v>
      </c>
      <c r="J100" s="134" t="s">
        <v>157</v>
      </c>
      <c r="K100" s="135">
        <v>30.25</v>
      </c>
      <c r="L100" s="135">
        <f>Table1368[[#This Row],[Prix total Achat]]-Table1368[[#This Row],[Prix article]]</f>
        <v>24.323545454545453</v>
      </c>
      <c r="M100" s="135">
        <v>54.57354545454545</v>
      </c>
      <c r="N100" s="134">
        <v>46056</v>
      </c>
      <c r="O100" s="136">
        <f>(Table1368[[#This Row],[Prix total Achat]]*2)</f>
        <v>109.1470909090909</v>
      </c>
      <c r="P100" s="136">
        <f>Table1368[[#This Row],[Prix Min voulu (x2 )]]*1.2</f>
        <v>130.97650909090908</v>
      </c>
      <c r="Q100" s="134">
        <v>46057</v>
      </c>
      <c r="R100" s="134">
        <v>46060</v>
      </c>
      <c r="S100" s="135">
        <v>125</v>
      </c>
      <c r="T100" s="134" t="s">
        <v>160</v>
      </c>
      <c r="U100" s="134" t="s">
        <v>157</v>
      </c>
      <c r="V100" s="137">
        <f>IF(ISBLANK(Table1368[[#This Row],[Date réception Achat]]),"",IF(ISBLANK(Table1368[[#This Row],[Date revente]]),TODAY(),Table1368[[#This Row],[Date revente]])-Table1368[[#This Row],[Date réception Achat]])</f>
        <v>4</v>
      </c>
      <c r="W10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0" s="135">
        <f>IF(Table1368[[#This Row],[Prix de revente]]="","",Table1368[[#This Row],[Prix de revente]]-Table1368[[#This Row],[Prix total Achat]])</f>
        <v>70.42645454545455</v>
      </c>
      <c r="Y100" s="138">
        <f>IF(Table1368[[#This Row],[Prix de revente]]="","",(Table1368[[#This Row],[Prix de revente]]/Table1368[[#This Row],[Prix total Achat]]))</f>
        <v>2.2904870658277656</v>
      </c>
      <c r="Z100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100" s="139">
        <f>IF(ISBLANK(Table1368[[#This Row],[Date relisting]]),"",IF(ISBLANK(Table1368[[#This Row],[Date relisting]]),TODAY(),Table1368[[#This Row],[Date relisting]])-Table1368[[#This Row],[Date réception Achat]])</f>
        <v>1</v>
      </c>
      <c r="AB100" s="139">
        <f>IF(ISBLANK(Table1368[[#This Row],[Date revente]]),"",IF(ISBLANK(Table1368[[#This Row],[Date revente]]),TODAY(),Table1368[[#This Row],[Date revente]])-Table1368[[#This Row],[Date relisting]])</f>
        <v>3</v>
      </c>
      <c r="AC100" s="139">
        <f>IF(ISBLANK(Table1368[[#This Row],[Date revente]]),"",IF(ISBLANK(Table1368[[#This Row],[Date revente]]),TODAY(),Table1368[[#This Row],[Date revente]])-Table1368[[#This Row],[Date réception Achat]])</f>
        <v>4</v>
      </c>
      <c r="AD100" s="139">
        <f>IF(ISBLANK(Table1368[[#This Row],[Date revente]]),"",IF(ISBLANK(Table1368[[#This Row],[Date revente]]),TODAY(),Table1368[[#This Row],[Date revente]])-Table1368[[#This Row],[Date achat]])</f>
        <v>25</v>
      </c>
    </row>
    <row r="101" spans="1:30" x14ac:dyDescent="0.25">
      <c r="A101" s="134">
        <v>46035</v>
      </c>
      <c r="B101" s="146" t="s">
        <v>384</v>
      </c>
      <c r="C101" s="134" t="s">
        <v>385</v>
      </c>
      <c r="D101" s="127" t="s">
        <v>157</v>
      </c>
      <c r="E101" s="127"/>
      <c r="F101" s="127"/>
      <c r="G101" s="147" t="s">
        <v>386</v>
      </c>
      <c r="H101" s="147" t="s">
        <v>379</v>
      </c>
      <c r="I101" s="134" t="s">
        <v>165</v>
      </c>
      <c r="J101" s="134" t="s">
        <v>157</v>
      </c>
      <c r="K101" s="135">
        <v>9.79</v>
      </c>
      <c r="L101" s="135">
        <f>Table1368[[#This Row],[Prix total Achat]]-Table1368[[#This Row],[Prix article]]</f>
        <v>24.32354545454546</v>
      </c>
      <c r="M101" s="135">
        <v>34.11354545454546</v>
      </c>
      <c r="N101" s="134">
        <v>46056</v>
      </c>
      <c r="O101" s="136">
        <f>(Table1368[[#This Row],[Prix total Achat]]*2)</f>
        <v>68.22709090909092</v>
      </c>
      <c r="P101" s="136">
        <f>Table1368[[#This Row],[Prix Min voulu (x2 )]]*1.2</f>
        <v>81.8725090909091</v>
      </c>
      <c r="Q101" s="134">
        <v>46057</v>
      </c>
      <c r="R101" s="134">
        <v>46071</v>
      </c>
      <c r="S101" s="135">
        <v>80</v>
      </c>
      <c r="T101" s="134" t="s">
        <v>160</v>
      </c>
      <c r="U101" s="134" t="s">
        <v>157</v>
      </c>
      <c r="V101" s="137">
        <f>IF(ISBLANK(Table1368[[#This Row],[Date réception Achat]]),"",IF(ISBLANK(Table1368[[#This Row],[Date revente]]),TODAY(),Table1368[[#This Row],[Date revente]])-Table1368[[#This Row],[Date réception Achat]])</f>
        <v>15</v>
      </c>
      <c r="W10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1" s="135">
        <f>IF(Table1368[[#This Row],[Prix de revente]]="","",Table1368[[#This Row],[Prix de revente]]-Table1368[[#This Row],[Prix total Achat]])</f>
        <v>45.88645454545454</v>
      </c>
      <c r="Y101" s="138">
        <f>IF(Table1368[[#This Row],[Prix de revente]]="","",(Table1368[[#This Row],[Prix de revente]]/Table1368[[#This Row],[Prix total Achat]]))</f>
        <v>2.345109513949404</v>
      </c>
      <c r="Z101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101" s="139">
        <f>IF(ISBLANK(Table1368[[#This Row],[Date relisting]]),"",IF(ISBLANK(Table1368[[#This Row],[Date relisting]]),TODAY(),Table1368[[#This Row],[Date relisting]])-Table1368[[#This Row],[Date réception Achat]])</f>
        <v>1</v>
      </c>
      <c r="AB101" s="139">
        <f>IF(ISBLANK(Table1368[[#This Row],[Date revente]]),"",IF(ISBLANK(Table1368[[#This Row],[Date revente]]),TODAY(),Table1368[[#This Row],[Date revente]])-Table1368[[#This Row],[Date relisting]])</f>
        <v>14</v>
      </c>
      <c r="AC101" s="139">
        <f>IF(ISBLANK(Table1368[[#This Row],[Date revente]]),"",IF(ISBLANK(Table1368[[#This Row],[Date revente]]),TODAY(),Table1368[[#This Row],[Date revente]])-Table1368[[#This Row],[Date réception Achat]])</f>
        <v>15</v>
      </c>
      <c r="AD101" s="139">
        <f>IF(ISBLANK(Table1368[[#This Row],[Date revente]]),"",IF(ISBLANK(Table1368[[#This Row],[Date revente]]),TODAY(),Table1368[[#This Row],[Date revente]])-Table1368[[#This Row],[Date achat]])</f>
        <v>36</v>
      </c>
    </row>
    <row r="102" spans="1:30" x14ac:dyDescent="0.25">
      <c r="A102" s="134">
        <v>46035</v>
      </c>
      <c r="B102" s="146" t="s">
        <v>387</v>
      </c>
      <c r="C102" s="134" t="s">
        <v>388</v>
      </c>
      <c r="D102" s="127" t="s">
        <v>157</v>
      </c>
      <c r="E102" s="127"/>
      <c r="F102" s="127"/>
      <c r="G102" s="147" t="s">
        <v>389</v>
      </c>
      <c r="H102" s="147" t="s">
        <v>174</v>
      </c>
      <c r="I102" s="134" t="s">
        <v>165</v>
      </c>
      <c r="J102" s="134" t="s">
        <v>157</v>
      </c>
      <c r="K102" s="135">
        <v>30.5525</v>
      </c>
      <c r="L102" s="135">
        <f>Table1368[[#This Row],[Prix total Achat]]-Table1368[[#This Row],[Prix article]]</f>
        <v>24.323545454545457</v>
      </c>
      <c r="M102" s="135">
        <v>54.876045454545455</v>
      </c>
      <c r="N102" s="134">
        <v>46056</v>
      </c>
      <c r="O102" s="136">
        <f>(Table1368[[#This Row],[Prix total Achat]]*2)</f>
        <v>109.75209090909091</v>
      </c>
      <c r="P102" s="136">
        <f>Table1368[[#This Row],[Prix Min voulu (x2 )]]*1.2</f>
        <v>131.70250909090907</v>
      </c>
      <c r="Q102" s="134">
        <v>46057</v>
      </c>
      <c r="R102" s="134">
        <v>46140</v>
      </c>
      <c r="S102" s="135">
        <v>94.05</v>
      </c>
      <c r="T102" s="134" t="s">
        <v>160</v>
      </c>
      <c r="U102" s="134" t="s">
        <v>157</v>
      </c>
      <c r="V102" s="137">
        <f>IF(ISBLANK(Table1368[[#This Row],[Date réception Achat]]),"",IF(ISBLANK(Table1368[[#This Row],[Date revente]]),TODAY(),Table1368[[#This Row],[Date revente]])-Table1368[[#This Row],[Date réception Achat]])</f>
        <v>84</v>
      </c>
      <c r="W10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2" s="135">
        <f>IF(Table1368[[#This Row],[Prix de revente]]="","",Table1368[[#This Row],[Prix de revente]]-Table1368[[#This Row],[Prix total Achat]])</f>
        <v>39.17395454545454</v>
      </c>
      <c r="Y102" s="138">
        <f>IF(Table1368[[#This Row],[Prix de revente]]="","",(Table1368[[#This Row],[Prix de revente]]/Table1368[[#This Row],[Prix total Achat]]))</f>
        <v>1.7138625646394807</v>
      </c>
      <c r="Z102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102" s="139">
        <f>IF(ISBLANK(Table1368[[#This Row],[Date relisting]]),"",IF(ISBLANK(Table1368[[#This Row],[Date relisting]]),TODAY(),Table1368[[#This Row],[Date relisting]])-Table1368[[#This Row],[Date réception Achat]])</f>
        <v>1</v>
      </c>
      <c r="AB102" s="139">
        <f>IF(ISBLANK(Table1368[[#This Row],[Date revente]]),"",IF(ISBLANK(Table1368[[#This Row],[Date revente]]),TODAY(),Table1368[[#This Row],[Date revente]])-Table1368[[#This Row],[Date relisting]])</f>
        <v>83</v>
      </c>
      <c r="AC102" s="139">
        <f>IF(ISBLANK(Table1368[[#This Row],[Date revente]]),"",IF(ISBLANK(Table1368[[#This Row],[Date revente]]),TODAY(),Table1368[[#This Row],[Date revente]])-Table1368[[#This Row],[Date réception Achat]])</f>
        <v>84</v>
      </c>
      <c r="AD102" s="139">
        <f>IF(ISBLANK(Table1368[[#This Row],[Date revente]]),"",IF(ISBLANK(Table1368[[#This Row],[Date revente]]),TODAY(),Table1368[[#This Row],[Date revente]])-Table1368[[#This Row],[Date achat]])</f>
        <v>105</v>
      </c>
    </row>
    <row r="103" spans="1:30" x14ac:dyDescent="0.25">
      <c r="A103" s="134">
        <v>46035</v>
      </c>
      <c r="B103" s="146" t="s">
        <v>390</v>
      </c>
      <c r="C103" s="134" t="s">
        <v>391</v>
      </c>
      <c r="D103" s="127" t="s">
        <v>157</v>
      </c>
      <c r="E103" s="127"/>
      <c r="F103" s="127"/>
      <c r="G103" s="147" t="s">
        <v>392</v>
      </c>
      <c r="H103" s="147" t="s">
        <v>178</v>
      </c>
      <c r="I103" s="134" t="s">
        <v>165</v>
      </c>
      <c r="J103" s="134" t="s">
        <v>157</v>
      </c>
      <c r="K103" s="135">
        <v>48.4</v>
      </c>
      <c r="L103" s="135">
        <f>Table1368[[#This Row],[Prix total Achat]]-Table1368[[#This Row],[Prix article]]</f>
        <v>24.32354545454546</v>
      </c>
      <c r="M103" s="135">
        <v>72.72354545454546</v>
      </c>
      <c r="N103" s="134">
        <v>46056</v>
      </c>
      <c r="O103" s="136">
        <f>(Table1368[[#This Row],[Prix total Achat]]*2)</f>
        <v>145.44709090909092</v>
      </c>
      <c r="P103" s="136">
        <f>Table1368[[#This Row],[Prix Min voulu (x2 )]]*1.2</f>
        <v>174.5365090909091</v>
      </c>
      <c r="Q103" s="134">
        <v>46057</v>
      </c>
      <c r="R103" s="134">
        <v>46167</v>
      </c>
      <c r="S103" s="135">
        <v>85</v>
      </c>
      <c r="T103" s="134" t="s">
        <v>160</v>
      </c>
      <c r="U103" s="134" t="s">
        <v>157</v>
      </c>
      <c r="V103" s="137">
        <f>IF(ISBLANK(Table1368[[#This Row],[Date réception Achat]]),"",IF(ISBLANK(Table1368[[#This Row],[Date revente]]),TODAY(),Table1368[[#This Row],[Date revente]])-Table1368[[#This Row],[Date réception Achat]])</f>
        <v>111</v>
      </c>
      <c r="W10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3" s="135">
        <f>IF(Table1368[[#This Row],[Prix de revente]]="","",Table1368[[#This Row],[Prix de revente]]-Table1368[[#This Row],[Prix total Achat]])</f>
        <v>12.276454545454541</v>
      </c>
      <c r="Y103" s="138">
        <f>IF(Table1368[[#This Row],[Prix de revente]]="","",(Table1368[[#This Row],[Prix de revente]]/Table1368[[#This Row],[Prix total Achat]]))</f>
        <v>1.1688099015074522</v>
      </c>
      <c r="Z103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103" s="139">
        <f>IF(ISBLANK(Table1368[[#This Row],[Date relisting]]),"",IF(ISBLANK(Table1368[[#This Row],[Date relisting]]),TODAY(),Table1368[[#This Row],[Date relisting]])-Table1368[[#This Row],[Date réception Achat]])</f>
        <v>1</v>
      </c>
      <c r="AB103" s="139">
        <f>IF(ISBLANK(Table1368[[#This Row],[Date revente]]),"",IF(ISBLANK(Table1368[[#This Row],[Date revente]]),TODAY(),Table1368[[#This Row],[Date revente]])-Table1368[[#This Row],[Date relisting]])</f>
        <v>110</v>
      </c>
      <c r="AC103" s="139">
        <f>IF(ISBLANK(Table1368[[#This Row],[Date revente]]),"",IF(ISBLANK(Table1368[[#This Row],[Date revente]]),TODAY(),Table1368[[#This Row],[Date revente]])-Table1368[[#This Row],[Date réception Achat]])</f>
        <v>111</v>
      </c>
      <c r="AD103" s="139">
        <f>IF(ISBLANK(Table1368[[#This Row],[Date revente]]),"",IF(ISBLANK(Table1368[[#This Row],[Date revente]]),TODAY(),Table1368[[#This Row],[Date revente]])-Table1368[[#This Row],[Date achat]])</f>
        <v>132</v>
      </c>
    </row>
    <row r="104" spans="1:30" x14ac:dyDescent="0.25">
      <c r="A104" s="134">
        <v>46035</v>
      </c>
      <c r="B104" s="148" t="s">
        <v>393</v>
      </c>
      <c r="C104" s="134" t="s">
        <v>394</v>
      </c>
      <c r="D104" s="127" t="s">
        <v>157</v>
      </c>
      <c r="E104" s="127"/>
      <c r="F104" s="127"/>
      <c r="G104" s="149" t="s">
        <v>382</v>
      </c>
      <c r="H104" s="149" t="s">
        <v>383</v>
      </c>
      <c r="I104" s="134" t="s">
        <v>165</v>
      </c>
      <c r="J104" s="134" t="s">
        <v>157</v>
      </c>
      <c r="K104" s="135">
        <v>13.513499999999999</v>
      </c>
      <c r="L104" s="135">
        <f>Table1368[[#This Row],[Prix total Achat]]-Table1368[[#This Row],[Prix article]]</f>
        <v>24.323545454545453</v>
      </c>
      <c r="M104" s="135">
        <v>37.83704545454545</v>
      </c>
      <c r="N104" s="134">
        <v>46056</v>
      </c>
      <c r="O104" s="136">
        <f>(Table1368[[#This Row],[Prix total Achat]]*2)</f>
        <v>75.6740909090909</v>
      </c>
      <c r="P104" s="136">
        <f>Table1368[[#This Row],[Prix Min voulu (x2 )]]*1.2</f>
        <v>90.80890909090908</v>
      </c>
      <c r="Q104" s="134">
        <v>46057</v>
      </c>
      <c r="R104" s="134">
        <v>46277</v>
      </c>
      <c r="S104" s="135">
        <v>83.19</v>
      </c>
      <c r="T104" s="134" t="s">
        <v>160</v>
      </c>
      <c r="U104" s="134" t="s">
        <v>189</v>
      </c>
      <c r="V104" s="137">
        <f>IF(ISBLANK(Table1368[[#This Row],[Date réception Achat]]),"",IF(ISBLANK(Table1368[[#This Row],[Date revente]]),TODAY(),Table1368[[#This Row],[Date revente]])-Table1368[[#This Row],[Date réception Achat]])</f>
        <v>221</v>
      </c>
      <c r="W10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4" s="135">
        <f>IF(Table1368[[#This Row],[Prix de revente]]="","",Table1368[[#This Row],[Prix de revente]]-Table1368[[#This Row],[Prix total Achat]])</f>
        <v>45.352954545454544</v>
      </c>
      <c r="Y104" s="138">
        <f>IF(Table1368[[#This Row],[Prix de revente]]="","",(Table1368[[#This Row],[Prix de revente]]/Table1368[[#This Row],[Prix total Achat]]))</f>
        <v>2.1986389000678748</v>
      </c>
      <c r="Z104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104" s="139">
        <f>IF(ISBLANK(Table1368[[#This Row],[Date relisting]]),"",IF(ISBLANK(Table1368[[#This Row],[Date relisting]]),TODAY(),Table1368[[#This Row],[Date relisting]])-Table1368[[#This Row],[Date réception Achat]])</f>
        <v>1</v>
      </c>
      <c r="AB104" s="139">
        <f>IF(ISBLANK(Table1368[[#This Row],[Date revente]]),"",IF(ISBLANK(Table1368[[#This Row],[Date revente]]),TODAY(),Table1368[[#This Row],[Date revente]])-Table1368[[#This Row],[Date relisting]])</f>
        <v>220</v>
      </c>
      <c r="AC104" s="139">
        <f>IF(ISBLANK(Table1368[[#This Row],[Date revente]]),"",IF(ISBLANK(Table1368[[#This Row],[Date revente]]),TODAY(),Table1368[[#This Row],[Date revente]])-Table1368[[#This Row],[Date réception Achat]])</f>
        <v>221</v>
      </c>
      <c r="AD104" s="139">
        <f>IF(ISBLANK(Table1368[[#This Row],[Date revente]]),"",IF(ISBLANK(Table1368[[#This Row],[Date revente]]),TODAY(),Table1368[[#This Row],[Date revente]])-Table1368[[#This Row],[Date achat]])</f>
        <v>242</v>
      </c>
    </row>
    <row r="105" spans="1:30" x14ac:dyDescent="0.25">
      <c r="A105" s="134">
        <v>46035</v>
      </c>
      <c r="B105" s="146" t="s">
        <v>395</v>
      </c>
      <c r="C105" s="134" t="s">
        <v>396</v>
      </c>
      <c r="D105" s="127" t="s">
        <v>157</v>
      </c>
      <c r="E105" s="127"/>
      <c r="F105" s="127"/>
      <c r="G105" s="147" t="s">
        <v>386</v>
      </c>
      <c r="H105" s="147" t="s">
        <v>174</v>
      </c>
      <c r="I105" s="134" t="s">
        <v>165</v>
      </c>
      <c r="J105" s="134" t="s">
        <v>157</v>
      </c>
      <c r="K105" s="135">
        <v>24.145</v>
      </c>
      <c r="L105" s="135">
        <f>Table1368[[#This Row],[Prix total Achat]]-Table1368[[#This Row],[Prix article]]</f>
        <v>24.323545454545457</v>
      </c>
      <c r="M105" s="135">
        <v>48.468545454545456</v>
      </c>
      <c r="N105" s="134">
        <v>46056</v>
      </c>
      <c r="O105" s="136">
        <f>(Table1368[[#This Row],[Prix total Achat]]*2)</f>
        <v>96.93709090909091</v>
      </c>
      <c r="P105" s="136">
        <f>Table1368[[#This Row],[Prix Min voulu (x2 )]]*1.2</f>
        <v>116.32450909090909</v>
      </c>
      <c r="Q105" s="134">
        <v>46057</v>
      </c>
      <c r="R105" s="134">
        <v>46295</v>
      </c>
      <c r="S105" s="135">
        <v>70</v>
      </c>
      <c r="T105" s="134" t="s">
        <v>160</v>
      </c>
      <c r="U105" s="134" t="s">
        <v>157</v>
      </c>
      <c r="V105" s="137">
        <f>IF(ISBLANK(Table1368[[#This Row],[Date réception Achat]]),"",IF(ISBLANK(Table1368[[#This Row],[Date revente]]),TODAY(),Table1368[[#This Row],[Date revente]])-Table1368[[#This Row],[Date réception Achat]])</f>
        <v>239</v>
      </c>
      <c r="W10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5" s="135">
        <f>IF(Table1368[[#This Row],[Prix de revente]]="","",Table1368[[#This Row],[Prix de revente]]-Table1368[[#This Row],[Prix total Achat]])</f>
        <v>21.531454545454544</v>
      </c>
      <c r="Y105" s="138">
        <f>IF(Table1368[[#This Row],[Prix de revente]]="","",(Table1368[[#This Row],[Prix de revente]]/Table1368[[#This Row],[Prix total Achat]]))</f>
        <v>1.444235624228647</v>
      </c>
      <c r="Z105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105" s="139">
        <f>IF(ISBLANK(Table1368[[#This Row],[Date relisting]]),"",IF(ISBLANK(Table1368[[#This Row],[Date relisting]]),TODAY(),Table1368[[#This Row],[Date relisting]])-Table1368[[#This Row],[Date réception Achat]])</f>
        <v>1</v>
      </c>
      <c r="AB105" s="139">
        <f>IF(ISBLANK(Table1368[[#This Row],[Date revente]]),"",IF(ISBLANK(Table1368[[#This Row],[Date revente]]),TODAY(),Table1368[[#This Row],[Date revente]])-Table1368[[#This Row],[Date relisting]])</f>
        <v>238</v>
      </c>
      <c r="AC105" s="139">
        <f>IF(ISBLANK(Table1368[[#This Row],[Date revente]]),"",IF(ISBLANK(Table1368[[#This Row],[Date revente]]),TODAY(),Table1368[[#This Row],[Date revente]])-Table1368[[#This Row],[Date réception Achat]])</f>
        <v>239</v>
      </c>
      <c r="AD105" s="139">
        <f>IF(ISBLANK(Table1368[[#This Row],[Date revente]]),"",IF(ISBLANK(Table1368[[#This Row],[Date revente]]),TODAY(),Table1368[[#This Row],[Date revente]])-Table1368[[#This Row],[Date achat]])</f>
        <v>260</v>
      </c>
    </row>
    <row r="106" spans="1:30" x14ac:dyDescent="0.25">
      <c r="A106" s="134">
        <v>46035</v>
      </c>
      <c r="B106" s="146" t="s">
        <v>397</v>
      </c>
      <c r="C106" s="134" t="s">
        <v>398</v>
      </c>
      <c r="D106" s="127" t="s">
        <v>157</v>
      </c>
      <c r="E106" s="127"/>
      <c r="F106" s="127"/>
      <c r="G106" s="147" t="s">
        <v>392</v>
      </c>
      <c r="H106" s="147" t="s">
        <v>174</v>
      </c>
      <c r="I106" s="134" t="s">
        <v>165</v>
      </c>
      <c r="J106" s="134" t="s">
        <v>157</v>
      </c>
      <c r="K106" s="135">
        <v>39.93</v>
      </c>
      <c r="L106" s="135">
        <f>Table1368[[#This Row],[Prix total Achat]]-Table1368[[#This Row],[Prix article]]</f>
        <v>24.32354545454546</v>
      </c>
      <c r="M106" s="135">
        <v>64.25354545454546</v>
      </c>
      <c r="N106" s="134">
        <v>46056</v>
      </c>
      <c r="O106" s="136">
        <f>(Table1368[[#This Row],[Prix total Achat]]*2)</f>
        <v>128.50709090909092</v>
      </c>
      <c r="P106" s="136">
        <f>Table1368[[#This Row],[Prix Min voulu (x2 )]]*1.2</f>
        <v>154.2085090909091</v>
      </c>
      <c r="Q106" s="134">
        <v>46057</v>
      </c>
      <c r="R106" s="134">
        <v>46103</v>
      </c>
      <c r="S106" s="135">
        <v>110</v>
      </c>
      <c r="T106" s="134" t="s">
        <v>160</v>
      </c>
      <c r="U106" s="134" t="s">
        <v>157</v>
      </c>
      <c r="V106" s="137">
        <f>IF(ISBLANK(Table1368[[#This Row],[Date réception Achat]]),"",IF(ISBLANK(Table1368[[#This Row],[Date revente]]),TODAY(),Table1368[[#This Row],[Date revente]])-Table1368[[#This Row],[Date réception Achat]])</f>
        <v>47</v>
      </c>
      <c r="W10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6" s="135">
        <f>IF(Table1368[[#This Row],[Prix de revente]]="","",Table1368[[#This Row],[Prix de revente]]-Table1368[[#This Row],[Prix total Achat]])</f>
        <v>45.74645454545454</v>
      </c>
      <c r="Y106" s="138">
        <f>IF(Table1368[[#This Row],[Prix de revente]]="","",(Table1368[[#This Row],[Prix de revente]]/Table1368[[#This Row],[Prix total Achat]]))</f>
        <v>1.7119677867086216</v>
      </c>
      <c r="Z106" s="139">
        <f>IF(ISBLANK(Table1368[[#This Row],[Date réception Achat]]),"",IF(ISBLANK(Table1368[[#This Row],[Date réception Achat]]),TODAY(),Table1368[[#This Row],[Date réception Achat]])-Table1368[[#This Row],[Date achat]])</f>
        <v>21</v>
      </c>
      <c r="AA106" s="139">
        <f>IF(ISBLANK(Table1368[[#This Row],[Date relisting]]),"",IF(ISBLANK(Table1368[[#This Row],[Date relisting]]),TODAY(),Table1368[[#This Row],[Date relisting]])-Table1368[[#This Row],[Date réception Achat]])</f>
        <v>1</v>
      </c>
      <c r="AB106" s="139">
        <f>IF(ISBLANK(Table1368[[#This Row],[Date revente]]),"",IF(ISBLANK(Table1368[[#This Row],[Date revente]]),TODAY(),Table1368[[#This Row],[Date revente]])-Table1368[[#This Row],[Date relisting]])</f>
        <v>46</v>
      </c>
      <c r="AC106" s="139">
        <f>IF(ISBLANK(Table1368[[#This Row],[Date revente]]),"",IF(ISBLANK(Table1368[[#This Row],[Date revente]]),TODAY(),Table1368[[#This Row],[Date revente]])-Table1368[[#This Row],[Date réception Achat]])</f>
        <v>47</v>
      </c>
      <c r="AD106" s="139">
        <f>IF(ISBLANK(Table1368[[#This Row],[Date revente]]),"",IF(ISBLANK(Table1368[[#This Row],[Date revente]]),TODAY(),Table1368[[#This Row],[Date revente]])-Table1368[[#This Row],[Date achat]])</f>
        <v>68</v>
      </c>
    </row>
    <row r="107" ht="15" customHeight="1" spans="1:30" x14ac:dyDescent="0.25">
      <c r="A107" s="134">
        <v>46045</v>
      </c>
      <c r="B107" s="150" t="s">
        <v>305</v>
      </c>
      <c r="C107" s="134" t="s">
        <v>399</v>
      </c>
      <c r="D107" s="127" t="s">
        <v>157</v>
      </c>
      <c r="E107" s="127"/>
      <c r="F107" s="127"/>
      <c r="G107" s="134" t="s">
        <v>158</v>
      </c>
      <c r="H107" s="127" t="s">
        <v>164</v>
      </c>
      <c r="I107" s="134" t="s">
        <v>160</v>
      </c>
      <c r="J107" s="134" t="s">
        <v>189</v>
      </c>
      <c r="K107" s="135">
        <v>30</v>
      </c>
      <c r="L107" s="135">
        <f>Table1368[[#This Row],[Prix total Achat]]-Table1368[[#This Row],[Prix article]]</f>
        <v>3.75</v>
      </c>
      <c r="M107" s="135">
        <v>33.75</v>
      </c>
      <c r="N107" s="134">
        <v>46048</v>
      </c>
      <c r="O107" s="136">
        <f>(Table1368[[#This Row],[Prix total Achat]]*2)</f>
        <v>67.5</v>
      </c>
      <c r="P107" s="136">
        <f>Table1368[[#This Row],[Prix Min voulu (x2 )]]*1.2</f>
        <v>81</v>
      </c>
      <c r="Q107" s="134">
        <v>46048</v>
      </c>
      <c r="R107" s="134">
        <v>46049</v>
      </c>
      <c r="S107" s="135">
        <v>100</v>
      </c>
      <c r="T107" s="134" t="s">
        <v>160</v>
      </c>
      <c r="U107" s="134" t="s">
        <v>157</v>
      </c>
      <c r="V107" s="137">
        <f>IF(ISBLANK(Table1368[[#This Row],[Date réception Achat]]),"",IF(ISBLANK(Table1368[[#This Row],[Date revente]]),TODAY(),Table1368[[#This Row],[Date revente]])-Table1368[[#This Row],[Date réception Achat]])</f>
        <v>1</v>
      </c>
      <c r="W10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7" s="135">
        <f>IF(Table1368[[#This Row],[Prix de revente]]="","",Table1368[[#This Row],[Prix de revente]]-Table1368[[#This Row],[Prix total Achat]])</f>
        <v>66.25</v>
      </c>
      <c r="Y107" s="138">
        <f>IF(Table1368[[#This Row],[Prix de revente]]="","",(Table1368[[#This Row],[Prix de revente]]/Table1368[[#This Row],[Prix total Achat]]))</f>
        <v>2.962962962962963</v>
      </c>
      <c r="Z107" s="139">
        <f>IF(ISBLANK(Table1368[[#This Row],[Date réception Achat]]),"",IF(ISBLANK(Table1368[[#This Row],[Date réception Achat]]),TODAY(),Table1368[[#This Row],[Date réception Achat]])-Table1368[[#This Row],[Date achat]])</f>
        <v>3</v>
      </c>
      <c r="AA107" s="139">
        <f>IF(ISBLANK(Table1368[[#This Row],[Date relisting]]),"",IF(ISBLANK(Table1368[[#This Row],[Date relisting]]),TODAY(),Table1368[[#This Row],[Date relisting]])-Table1368[[#This Row],[Date réception Achat]])</f>
        <v>0</v>
      </c>
      <c r="AB107" s="139">
        <f>IF(ISBLANK(Table1368[[#This Row],[Date revente]]),"",IF(ISBLANK(Table1368[[#This Row],[Date revente]]),TODAY(),Table1368[[#This Row],[Date revente]])-Table1368[[#This Row],[Date relisting]])</f>
        <v>1</v>
      </c>
      <c r="AC107" s="139">
        <f>IF(ISBLANK(Table1368[[#This Row],[Date revente]]),"",IF(ISBLANK(Table1368[[#This Row],[Date revente]]),TODAY(),Table1368[[#This Row],[Date revente]])-Table1368[[#This Row],[Date réception Achat]])</f>
        <v>1</v>
      </c>
      <c r="AD107" s="139">
        <f>IF(ISBLANK(Table1368[[#This Row],[Date revente]]),"",IF(ISBLANK(Table1368[[#This Row],[Date revente]]),TODAY(),Table1368[[#This Row],[Date revente]])-Table1368[[#This Row],[Date achat]])</f>
        <v>4</v>
      </c>
    </row>
    <row r="108" spans="1:30" x14ac:dyDescent="0.25">
      <c r="A108" s="134">
        <v>46045</v>
      </c>
      <c r="B108" s="141" t="s">
        <v>205</v>
      </c>
      <c r="C108" s="134" t="s">
        <v>400</v>
      </c>
      <c r="D108" s="127" t="s">
        <v>157</v>
      </c>
      <c r="E108" s="127"/>
      <c r="F108" s="127"/>
      <c r="G108" s="134" t="s">
        <v>158</v>
      </c>
      <c r="H108" s="127" t="s">
        <v>178</v>
      </c>
      <c r="I108" s="134" t="s">
        <v>160</v>
      </c>
      <c r="J108" s="134" t="s">
        <v>189</v>
      </c>
      <c r="K108" s="135">
        <v>30</v>
      </c>
      <c r="L108" s="135">
        <f>Table1368[[#This Row],[Prix total Achat]]-Table1368[[#This Row],[Prix article]]</f>
        <v>3.75</v>
      </c>
      <c r="M108" s="135">
        <v>33.75</v>
      </c>
      <c r="N108" s="134">
        <v>46048</v>
      </c>
      <c r="O108" s="136">
        <f>(Table1368[[#This Row],[Prix total Achat]]*2)</f>
        <v>67.5</v>
      </c>
      <c r="P108" s="136">
        <f>Table1368[[#This Row],[Prix Min voulu (x2 )]]*1.2</f>
        <v>81</v>
      </c>
      <c r="Q108" s="134">
        <v>46048</v>
      </c>
      <c r="R108" s="134">
        <v>46050</v>
      </c>
      <c r="S108" s="135">
        <v>85.5</v>
      </c>
      <c r="T108" s="134" t="s">
        <v>160</v>
      </c>
      <c r="U108" s="134" t="s">
        <v>157</v>
      </c>
      <c r="V108" s="137">
        <f>IF(ISBLANK(Table1368[[#This Row],[Date réception Achat]]),"",IF(ISBLANK(Table1368[[#This Row],[Date revente]]),TODAY(),Table1368[[#This Row],[Date revente]])-Table1368[[#This Row],[Date réception Achat]])</f>
        <v>2</v>
      </c>
      <c r="W10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8" s="135">
        <f>IF(Table1368[[#This Row],[Prix de revente]]="","",Table1368[[#This Row],[Prix de revente]]-Table1368[[#This Row],[Prix total Achat]])</f>
        <v>51.75</v>
      </c>
      <c r="Y108" s="138">
        <f>IF(Table1368[[#This Row],[Prix de revente]]="","",(Table1368[[#This Row],[Prix de revente]]/Table1368[[#This Row],[Prix total Achat]]))</f>
        <v>2.533333333333333</v>
      </c>
      <c r="Z108" s="139">
        <f>IF(ISBLANK(Table1368[[#This Row],[Date réception Achat]]),"",IF(ISBLANK(Table1368[[#This Row],[Date réception Achat]]),TODAY(),Table1368[[#This Row],[Date réception Achat]])-Table1368[[#This Row],[Date achat]])</f>
        <v>3</v>
      </c>
      <c r="AA108" s="139">
        <f>IF(ISBLANK(Table1368[[#This Row],[Date relisting]]),"",IF(ISBLANK(Table1368[[#This Row],[Date relisting]]),TODAY(),Table1368[[#This Row],[Date relisting]])-Table1368[[#This Row],[Date réception Achat]])</f>
        <v>0</v>
      </c>
      <c r="AB108" s="139">
        <f>IF(ISBLANK(Table1368[[#This Row],[Date revente]]),"",IF(ISBLANK(Table1368[[#This Row],[Date revente]]),TODAY(),Table1368[[#This Row],[Date revente]])-Table1368[[#This Row],[Date relisting]])</f>
        <v>2</v>
      </c>
      <c r="AC108" s="139">
        <f>IF(ISBLANK(Table1368[[#This Row],[Date revente]]),"",IF(ISBLANK(Table1368[[#This Row],[Date revente]]),TODAY(),Table1368[[#This Row],[Date revente]])-Table1368[[#This Row],[Date réception Achat]])</f>
        <v>2</v>
      </c>
      <c r="AD108" s="139">
        <f>IF(ISBLANK(Table1368[[#This Row],[Date revente]]),"",IF(ISBLANK(Table1368[[#This Row],[Date revente]]),TODAY(),Table1368[[#This Row],[Date revente]])-Table1368[[#This Row],[Date achat]])</f>
        <v>5</v>
      </c>
    </row>
    <row r="109" spans="1:30" x14ac:dyDescent="0.25">
      <c r="A109" s="134">
        <v>46048</v>
      </c>
      <c r="B109" s="141" t="s">
        <v>168</v>
      </c>
      <c r="C109" s="134" t="s">
        <v>401</v>
      </c>
      <c r="D109" s="127" t="s">
        <v>157</v>
      </c>
      <c r="E109" s="127"/>
      <c r="F109" s="127"/>
      <c r="G109" s="134" t="s">
        <v>402</v>
      </c>
      <c r="H109" s="127" t="s">
        <v>178</v>
      </c>
      <c r="I109" s="134" t="s">
        <v>160</v>
      </c>
      <c r="J109" s="134" t="s">
        <v>157</v>
      </c>
      <c r="K109" s="135">
        <v>8</v>
      </c>
      <c r="L109" s="135">
        <f>Table1368[[#This Row],[Prix total Achat]]-Table1368[[#This Row],[Prix article]]</f>
        <v>5.49</v>
      </c>
      <c r="M109" s="135">
        <v>13.49</v>
      </c>
      <c r="N109" s="134">
        <v>46055</v>
      </c>
      <c r="O109" s="136">
        <f>(Table1368[[#This Row],[Prix total Achat]]*2)</f>
        <v>26.98</v>
      </c>
      <c r="P109" s="136">
        <f>Table1368[[#This Row],[Prix Min voulu (x2 )]]*1.2</f>
        <v>32.376</v>
      </c>
      <c r="Q109" s="134">
        <v>46058</v>
      </c>
      <c r="R109" s="134">
        <v>46087</v>
      </c>
      <c r="S109" s="135">
        <v>55</v>
      </c>
      <c r="T109" s="134" t="s">
        <v>160</v>
      </c>
      <c r="U109" s="134" t="s">
        <v>157</v>
      </c>
      <c r="V109" s="137">
        <f>IF(ISBLANK(Table1368[[#This Row],[Date réception Achat]]),"",IF(ISBLANK(Table1368[[#This Row],[Date revente]]),TODAY(),Table1368[[#This Row],[Date revente]])-Table1368[[#This Row],[Date réception Achat]])</f>
        <v>32</v>
      </c>
      <c r="W10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09" s="135">
        <f>IF(Table1368[[#This Row],[Prix de revente]]="","",Table1368[[#This Row],[Prix de revente]]-Table1368[[#This Row],[Prix total Achat]])</f>
        <v>41.51</v>
      </c>
      <c r="Y109" s="138">
        <f>IF(Table1368[[#This Row],[Prix de revente]]="","",(Table1368[[#This Row],[Prix de revente]]/Table1368[[#This Row],[Prix total Achat]]))</f>
        <v>4.07709414381023</v>
      </c>
      <c r="Z109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09" s="139">
        <f>IF(ISBLANK(Table1368[[#This Row],[Date relisting]]),"",IF(ISBLANK(Table1368[[#This Row],[Date relisting]]),TODAY(),Table1368[[#This Row],[Date relisting]])-Table1368[[#This Row],[Date réception Achat]])</f>
        <v>3</v>
      </c>
      <c r="AB109" s="139">
        <f>IF(ISBLANK(Table1368[[#This Row],[Date revente]]),"",IF(ISBLANK(Table1368[[#This Row],[Date revente]]),TODAY(),Table1368[[#This Row],[Date revente]])-Table1368[[#This Row],[Date relisting]])</f>
        <v>29</v>
      </c>
      <c r="AC109" s="139">
        <f>IF(ISBLANK(Table1368[[#This Row],[Date revente]]),"",IF(ISBLANK(Table1368[[#This Row],[Date revente]]),TODAY(),Table1368[[#This Row],[Date revente]])-Table1368[[#This Row],[Date réception Achat]])</f>
        <v>32</v>
      </c>
      <c r="AD109" s="139">
        <f>IF(ISBLANK(Table1368[[#This Row],[Date revente]]),"",IF(ISBLANK(Table1368[[#This Row],[Date revente]]),TODAY(),Table1368[[#This Row],[Date revente]])-Table1368[[#This Row],[Date achat]])</f>
        <v>39</v>
      </c>
    </row>
    <row r="110" spans="1:30" x14ac:dyDescent="0.25">
      <c r="A110" s="134">
        <v>46048</v>
      </c>
      <c r="B110" s="141" t="s">
        <v>200</v>
      </c>
      <c r="C110" s="134" t="s">
        <v>403</v>
      </c>
      <c r="D110" s="127" t="s">
        <v>157</v>
      </c>
      <c r="E110" s="127"/>
      <c r="F110" s="127"/>
      <c r="G110" s="134" t="s">
        <v>308</v>
      </c>
      <c r="H110" s="127" t="s">
        <v>341</v>
      </c>
      <c r="I110" s="134" t="s">
        <v>160</v>
      </c>
      <c r="J110" s="134" t="s">
        <v>157</v>
      </c>
      <c r="K110" s="135">
        <v>8</v>
      </c>
      <c r="L110" s="135">
        <f>Table1368[[#This Row],[Prix total Achat]]-Table1368[[#This Row],[Prix article]]</f>
        <v>4.09</v>
      </c>
      <c r="M110" s="135">
        <v>12.09</v>
      </c>
      <c r="N110" s="134">
        <v>46072</v>
      </c>
      <c r="O110" s="136">
        <f>(Table1368[[#This Row],[Prix total Achat]]*2)</f>
        <v>24.18</v>
      </c>
      <c r="P110" s="136">
        <f>Table1368[[#This Row],[Prix Min voulu (x2 )]]*1.2</f>
        <v>29.016</v>
      </c>
      <c r="Q110" s="134">
        <v>46078</v>
      </c>
      <c r="R110" s="134">
        <v>46111</v>
      </c>
      <c r="S110" s="135">
        <v>35.1</v>
      </c>
      <c r="T110" s="134" t="s">
        <v>160</v>
      </c>
      <c r="U110" s="134" t="s">
        <v>157</v>
      </c>
      <c r="V110" s="137">
        <f>IF(ISBLANK(Table1368[[#This Row],[Date réception Achat]]),"",IF(ISBLANK(Table1368[[#This Row],[Date revente]]),TODAY(),Table1368[[#This Row],[Date revente]])-Table1368[[#This Row],[Date réception Achat]])</f>
        <v>39</v>
      </c>
      <c r="W11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0" s="135">
        <f>IF(Table1368[[#This Row],[Prix de revente]]="","",Table1368[[#This Row],[Prix de revente]]-Table1368[[#This Row],[Prix total Achat]])</f>
        <v>23.01</v>
      </c>
      <c r="Y110" s="138">
        <f>IF(Table1368[[#This Row],[Prix de revente]]="","",(Table1368[[#This Row],[Prix de revente]]/Table1368[[#This Row],[Prix total Achat]]))</f>
        <v>2.903225806451613</v>
      </c>
      <c r="Z110" s="139">
        <f>IF(ISBLANK(Table1368[[#This Row],[Date réception Achat]]),"",IF(ISBLANK(Table1368[[#This Row],[Date réception Achat]]),TODAY(),Table1368[[#This Row],[Date réception Achat]])-Table1368[[#This Row],[Date achat]])</f>
        <v>24</v>
      </c>
      <c r="AA110" s="139">
        <f>IF(ISBLANK(Table1368[[#This Row],[Date relisting]]),"",IF(ISBLANK(Table1368[[#This Row],[Date relisting]]),TODAY(),Table1368[[#This Row],[Date relisting]])-Table1368[[#This Row],[Date réception Achat]])</f>
        <v>6</v>
      </c>
      <c r="AB110" s="139">
        <f>IF(ISBLANK(Table1368[[#This Row],[Date revente]]),"",IF(ISBLANK(Table1368[[#This Row],[Date revente]]),TODAY(),Table1368[[#This Row],[Date revente]])-Table1368[[#This Row],[Date relisting]])</f>
        <v>33</v>
      </c>
      <c r="AC110" s="139">
        <f>IF(ISBLANK(Table1368[[#This Row],[Date revente]]),"",IF(ISBLANK(Table1368[[#This Row],[Date revente]]),TODAY(),Table1368[[#This Row],[Date revente]])-Table1368[[#This Row],[Date réception Achat]])</f>
        <v>39</v>
      </c>
      <c r="AD110" s="139">
        <f>IF(ISBLANK(Table1368[[#This Row],[Date revente]]),"",IF(ISBLANK(Table1368[[#This Row],[Date revente]]),TODAY(),Table1368[[#This Row],[Date revente]])-Table1368[[#This Row],[Date achat]])</f>
        <v>63</v>
      </c>
    </row>
    <row r="111" spans="1:30" x14ac:dyDescent="0.25">
      <c r="A111" s="134">
        <v>46048</v>
      </c>
      <c r="B111" s="148" t="s">
        <v>404</v>
      </c>
      <c r="C111" s="134" t="s">
        <v>405</v>
      </c>
      <c r="D111" s="127" t="s">
        <v>157</v>
      </c>
      <c r="E111" s="127"/>
      <c r="F111" s="127"/>
      <c r="G111" s="134" t="s">
        <v>378</v>
      </c>
      <c r="H111" s="147" t="s">
        <v>194</v>
      </c>
      <c r="I111" s="134" t="s">
        <v>165</v>
      </c>
      <c r="J111" s="134" t="s">
        <v>157</v>
      </c>
      <c r="K111" s="135">
        <v>17.05</v>
      </c>
      <c r="L111" s="135">
        <f>Table1368[[#This Row],[Prix total Achat]]-Table1368[[#This Row],[Prix article]]</f>
        <v>21.455882352941178</v>
      </c>
      <c r="M111" s="135">
        <v>38.50588235294118</v>
      </c>
      <c r="N111" s="134">
        <v>46077</v>
      </c>
      <c r="O111" s="136">
        <f>(Table1368[[#This Row],[Prix total Achat]]*2)</f>
        <v>77.01176470588236</v>
      </c>
      <c r="P111" s="136">
        <f>Table1368[[#This Row],[Prix Min voulu (x2 )]]*1.2</f>
        <v>92.41411764705883</v>
      </c>
      <c r="Q111" s="134">
        <v>46078</v>
      </c>
      <c r="R111" s="134">
        <v>46187</v>
      </c>
      <c r="S111" s="135">
        <v>69</v>
      </c>
      <c r="T111" s="134" t="s">
        <v>160</v>
      </c>
      <c r="U111" s="134" t="s">
        <v>157</v>
      </c>
      <c r="V111" s="137">
        <f>IF(ISBLANK(Table1368[[#This Row],[Date réception Achat]]),"",IF(ISBLANK(Table1368[[#This Row],[Date revente]]),TODAY(),Table1368[[#This Row],[Date revente]])-Table1368[[#This Row],[Date réception Achat]])</f>
        <v>110</v>
      </c>
      <c r="W11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1" s="135">
        <f>IF(Table1368[[#This Row],[Prix de revente]]="","",Table1368[[#This Row],[Prix de revente]]-Table1368[[#This Row],[Prix total Achat]])</f>
        <v>30.49411764705882</v>
      </c>
      <c r="Y111" s="138">
        <f>IF(Table1368[[#This Row],[Prix de revente]]="","",(Table1368[[#This Row],[Prix de revente]]/Table1368[[#This Row],[Prix total Achat]]))</f>
        <v>1.7919340054995416</v>
      </c>
      <c r="Z111" s="139">
        <f>IF(ISBLANK(Table1368[[#This Row],[Date réception Achat]]),"",IF(ISBLANK(Table1368[[#This Row],[Date réception Achat]]),TODAY(),Table1368[[#This Row],[Date réception Achat]])-Table1368[[#This Row],[Date achat]])</f>
        <v>29</v>
      </c>
      <c r="AA111" s="139">
        <f>IF(ISBLANK(Table1368[[#This Row],[Date relisting]]),"",IF(ISBLANK(Table1368[[#This Row],[Date relisting]]),TODAY(),Table1368[[#This Row],[Date relisting]])-Table1368[[#This Row],[Date réception Achat]])</f>
        <v>1</v>
      </c>
      <c r="AB111" s="139">
        <f>IF(ISBLANK(Table1368[[#This Row],[Date revente]]),"",IF(ISBLANK(Table1368[[#This Row],[Date revente]]),TODAY(),Table1368[[#This Row],[Date revente]])-Table1368[[#This Row],[Date relisting]])</f>
        <v>109</v>
      </c>
      <c r="AC111" s="139">
        <f>IF(ISBLANK(Table1368[[#This Row],[Date revente]]),"",IF(ISBLANK(Table1368[[#This Row],[Date revente]]),TODAY(),Table1368[[#This Row],[Date revente]])-Table1368[[#This Row],[Date réception Achat]])</f>
        <v>110</v>
      </c>
      <c r="AD111" s="139">
        <f>IF(ISBLANK(Table1368[[#This Row],[Date revente]]),"",IF(ISBLANK(Table1368[[#This Row],[Date revente]]),TODAY(),Table1368[[#This Row],[Date revente]])-Table1368[[#This Row],[Date achat]])</f>
        <v>139</v>
      </c>
    </row>
    <row r="112" spans="1:30" x14ac:dyDescent="0.25">
      <c r="A112" s="134">
        <v>46048</v>
      </c>
      <c r="B112" s="148" t="s">
        <v>406</v>
      </c>
      <c r="C112" s="134" t="s">
        <v>407</v>
      </c>
      <c r="D112" s="127" t="s">
        <v>157</v>
      </c>
      <c r="E112" s="127"/>
      <c r="F112" s="127"/>
      <c r="G112" s="134" t="s">
        <v>408</v>
      </c>
      <c r="H112" s="149" t="s">
        <v>194</v>
      </c>
      <c r="I112" s="134" t="s">
        <v>165</v>
      </c>
      <c r="J112" s="134" t="s">
        <v>157</v>
      </c>
      <c r="K112" s="135">
        <v>48.839999999999996</v>
      </c>
      <c r="L112" s="135">
        <f>Table1368[[#This Row],[Prix total Achat]]-Table1368[[#This Row],[Prix article]]</f>
        <v>21.45588235294118</v>
      </c>
      <c r="M112" s="135">
        <v>70.29588235294118</v>
      </c>
      <c r="N112" s="134">
        <v>46077</v>
      </c>
      <c r="O112" s="136">
        <f>(Table1368[[#This Row],[Prix total Achat]]*2)</f>
        <v>140.59176470588235</v>
      </c>
      <c r="P112" s="136">
        <f>Table1368[[#This Row],[Prix Min voulu (x2 )]]*1.2</f>
        <v>168.7101176470588</v>
      </c>
      <c r="Q112" s="134">
        <v>46078</v>
      </c>
      <c r="R112" s="134">
        <v>46081</v>
      </c>
      <c r="S112" s="135">
        <v>142.8</v>
      </c>
      <c r="T112" s="134" t="s">
        <v>160</v>
      </c>
      <c r="U112" s="134" t="s">
        <v>157</v>
      </c>
      <c r="V112" s="137">
        <f>IF(ISBLANK(Table1368[[#This Row],[Date réception Achat]]),"",IF(ISBLANK(Table1368[[#This Row],[Date revente]]),TODAY(),Table1368[[#This Row],[Date revente]])-Table1368[[#This Row],[Date réception Achat]])</f>
        <v>4</v>
      </c>
      <c r="W11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2" s="135">
        <f>IF(Table1368[[#This Row],[Prix de revente]]="","",Table1368[[#This Row],[Prix de revente]]-Table1368[[#This Row],[Prix total Achat]])</f>
        <v>72.50411764705883</v>
      </c>
      <c r="Y112" s="138">
        <f>IF(Table1368[[#This Row],[Prix de revente]]="","",(Table1368[[#This Row],[Prix de revente]]/Table1368[[#This Row],[Prix total Achat]]))</f>
        <v>2.031413437319565</v>
      </c>
      <c r="Z112" s="139">
        <f>IF(ISBLANK(Table1368[[#This Row],[Date réception Achat]]),"",IF(ISBLANK(Table1368[[#This Row],[Date réception Achat]]),TODAY(),Table1368[[#This Row],[Date réception Achat]])-Table1368[[#This Row],[Date achat]])</f>
        <v>29</v>
      </c>
      <c r="AA112" s="139">
        <f>IF(ISBLANK(Table1368[[#This Row],[Date relisting]]),"",IF(ISBLANK(Table1368[[#This Row],[Date relisting]]),TODAY(),Table1368[[#This Row],[Date relisting]])-Table1368[[#This Row],[Date réception Achat]])</f>
        <v>1</v>
      </c>
      <c r="AB112" s="139">
        <f>IF(ISBLANK(Table1368[[#This Row],[Date revente]]),"",IF(ISBLANK(Table1368[[#This Row],[Date revente]]),TODAY(),Table1368[[#This Row],[Date revente]])-Table1368[[#This Row],[Date relisting]])</f>
        <v>3</v>
      </c>
      <c r="AC112" s="139">
        <f>IF(ISBLANK(Table1368[[#This Row],[Date revente]]),"",IF(ISBLANK(Table1368[[#This Row],[Date revente]]),TODAY(),Table1368[[#This Row],[Date revente]])-Table1368[[#This Row],[Date réception Achat]])</f>
        <v>4</v>
      </c>
      <c r="AD112" s="139">
        <f>IF(ISBLANK(Table1368[[#This Row],[Date revente]]),"",IF(ISBLANK(Table1368[[#This Row],[Date revente]]),TODAY(),Table1368[[#This Row],[Date revente]])-Table1368[[#This Row],[Date achat]])</f>
        <v>33</v>
      </c>
    </row>
    <row r="113" spans="1:30" x14ac:dyDescent="0.25">
      <c r="A113" s="134">
        <v>46048</v>
      </c>
      <c r="B113" s="146" t="s">
        <v>409</v>
      </c>
      <c r="C113" s="134" t="s">
        <v>410</v>
      </c>
      <c r="D113" s="127" t="s">
        <v>157</v>
      </c>
      <c r="E113" s="127"/>
      <c r="F113" s="127"/>
      <c r="G113" s="134" t="s">
        <v>382</v>
      </c>
      <c r="H113" s="147" t="s">
        <v>411</v>
      </c>
      <c r="I113" s="134" t="s">
        <v>165</v>
      </c>
      <c r="J113" s="134" t="s">
        <v>157</v>
      </c>
      <c r="K113" s="135">
        <v>48.4</v>
      </c>
      <c r="L113" s="135">
        <f>Table1368[[#This Row],[Prix total Achat]]-Table1368[[#This Row],[Prix article]]</f>
        <v>21.45588235294118</v>
      </c>
      <c r="M113" s="135">
        <v>69.85588235294118</v>
      </c>
      <c r="N113" s="134">
        <v>46077</v>
      </c>
      <c r="O113" s="136">
        <f>(Table1368[[#This Row],[Prix total Achat]]*2)</f>
        <v>139.71176470588236</v>
      </c>
      <c r="P113" s="136">
        <f>Table1368[[#This Row],[Prix Min voulu (x2 )]]*1.2</f>
        <v>167.65411764705883</v>
      </c>
      <c r="Q113" s="134">
        <v>46078</v>
      </c>
      <c r="R113" s="134">
        <v>46108</v>
      </c>
      <c r="S113" s="135">
        <v>115</v>
      </c>
      <c r="T113" s="134" t="s">
        <v>160</v>
      </c>
      <c r="U113" s="134" t="s">
        <v>157</v>
      </c>
      <c r="V113" s="137">
        <f>IF(ISBLANK(Table1368[[#This Row],[Date réception Achat]]),"",IF(ISBLANK(Table1368[[#This Row],[Date revente]]),TODAY(),Table1368[[#This Row],[Date revente]])-Table1368[[#This Row],[Date réception Achat]])</f>
        <v>31</v>
      </c>
      <c r="W11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3" s="135">
        <f>IF(Table1368[[#This Row],[Prix de revente]]="","",Table1368[[#This Row],[Prix de revente]]-Table1368[[#This Row],[Prix total Achat]])</f>
        <v>45.14411764705882</v>
      </c>
      <c r="Y113" s="138">
        <f>IF(Table1368[[#This Row],[Prix de revente]]="","",(Table1368[[#This Row],[Prix de revente]]/Table1368[[#This Row],[Prix total Achat]]))</f>
        <v>1.6462464738326807</v>
      </c>
      <c r="Z113" s="139">
        <f>IF(ISBLANK(Table1368[[#This Row],[Date réception Achat]]),"",IF(ISBLANK(Table1368[[#This Row],[Date réception Achat]]),TODAY(),Table1368[[#This Row],[Date réception Achat]])-Table1368[[#This Row],[Date achat]])</f>
        <v>29</v>
      </c>
      <c r="AA113" s="139">
        <f>IF(ISBLANK(Table1368[[#This Row],[Date relisting]]),"",IF(ISBLANK(Table1368[[#This Row],[Date relisting]]),TODAY(),Table1368[[#This Row],[Date relisting]])-Table1368[[#This Row],[Date réception Achat]])</f>
        <v>1</v>
      </c>
      <c r="AB113" s="139">
        <f>IF(ISBLANK(Table1368[[#This Row],[Date revente]]),"",IF(ISBLANK(Table1368[[#This Row],[Date revente]]),TODAY(),Table1368[[#This Row],[Date revente]])-Table1368[[#This Row],[Date relisting]])</f>
        <v>30</v>
      </c>
      <c r="AC113" s="139">
        <f>IF(ISBLANK(Table1368[[#This Row],[Date revente]]),"",IF(ISBLANK(Table1368[[#This Row],[Date revente]]),TODAY(),Table1368[[#This Row],[Date revente]])-Table1368[[#This Row],[Date réception Achat]])</f>
        <v>31</v>
      </c>
      <c r="AD113" s="139">
        <f>IF(ISBLANK(Table1368[[#This Row],[Date revente]]),"",IF(ISBLANK(Table1368[[#This Row],[Date revente]]),TODAY(),Table1368[[#This Row],[Date revente]])-Table1368[[#This Row],[Date achat]])</f>
        <v>60</v>
      </c>
    </row>
    <row r="114" spans="1:30" x14ac:dyDescent="0.25">
      <c r="A114" s="134">
        <v>46048</v>
      </c>
      <c r="B114" s="146" t="s">
        <v>412</v>
      </c>
      <c r="C114" s="134" t="s">
        <v>413</v>
      </c>
      <c r="D114" s="127" t="s">
        <v>157</v>
      </c>
      <c r="E114" s="127"/>
      <c r="F114" s="127"/>
      <c r="G114" s="134" t="s">
        <v>382</v>
      </c>
      <c r="H114" s="147" t="s">
        <v>414</v>
      </c>
      <c r="I114" s="134" t="s">
        <v>165</v>
      </c>
      <c r="J114" s="134" t="s">
        <v>157</v>
      </c>
      <c r="K114" s="135">
        <v>13.2</v>
      </c>
      <c r="L114" s="135">
        <f>Table1368[[#This Row],[Prix total Achat]]-Table1368[[#This Row],[Prix article]]</f>
        <v>21.455882352941178</v>
      </c>
      <c r="M114" s="135">
        <v>34.65588235294118</v>
      </c>
      <c r="N114" s="134">
        <v>46077</v>
      </c>
      <c r="O114" s="136">
        <f>(Table1368[[#This Row],[Prix total Achat]]*2)</f>
        <v>69.31176470588235</v>
      </c>
      <c r="P114" s="136">
        <f>Table1368[[#This Row],[Prix Min voulu (x2 )]]*1.2</f>
        <v>83.17411764705882</v>
      </c>
      <c r="Q114" s="134">
        <v>46078</v>
      </c>
      <c r="R114" s="134">
        <v>46181</v>
      </c>
      <c r="S114" s="135">
        <v>65</v>
      </c>
      <c r="T114" s="134" t="s">
        <v>160</v>
      </c>
      <c r="U114" s="134" t="s">
        <v>157</v>
      </c>
      <c r="V114" s="137">
        <f>IF(ISBLANK(Table1368[[#This Row],[Date réception Achat]]),"",IF(ISBLANK(Table1368[[#This Row],[Date revente]]),TODAY(),Table1368[[#This Row],[Date revente]])-Table1368[[#This Row],[Date réception Achat]])</f>
        <v>104</v>
      </c>
      <c r="W11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4" s="135">
        <f>IF(Table1368[[#This Row],[Prix de revente]]="","",Table1368[[#This Row],[Prix de revente]]-Table1368[[#This Row],[Prix total Achat]])</f>
        <v>30.344117647058823</v>
      </c>
      <c r="Y114" s="138">
        <f>IF(Table1368[[#This Row],[Prix de revente]]="","",(Table1368[[#This Row],[Prix de revente]]/Table1368[[#This Row],[Prix total Achat]]))</f>
        <v>1.8755834677077146</v>
      </c>
      <c r="Z114" s="139">
        <f>IF(ISBLANK(Table1368[[#This Row],[Date réception Achat]]),"",IF(ISBLANK(Table1368[[#This Row],[Date réception Achat]]),TODAY(),Table1368[[#This Row],[Date réception Achat]])-Table1368[[#This Row],[Date achat]])</f>
        <v>29</v>
      </c>
      <c r="AA114" s="139">
        <f>IF(ISBLANK(Table1368[[#This Row],[Date relisting]]),"",IF(ISBLANK(Table1368[[#This Row],[Date relisting]]),TODAY(),Table1368[[#This Row],[Date relisting]])-Table1368[[#This Row],[Date réception Achat]])</f>
        <v>1</v>
      </c>
      <c r="AB114" s="139">
        <f>IF(ISBLANK(Table1368[[#This Row],[Date revente]]),"",IF(ISBLANK(Table1368[[#This Row],[Date revente]]),TODAY(),Table1368[[#This Row],[Date revente]])-Table1368[[#This Row],[Date relisting]])</f>
        <v>103</v>
      </c>
      <c r="AC114" s="139">
        <f>IF(ISBLANK(Table1368[[#This Row],[Date revente]]),"",IF(ISBLANK(Table1368[[#This Row],[Date revente]]),TODAY(),Table1368[[#This Row],[Date revente]])-Table1368[[#This Row],[Date réception Achat]])</f>
        <v>104</v>
      </c>
      <c r="AD114" s="139">
        <f>IF(ISBLANK(Table1368[[#This Row],[Date revente]]),"",IF(ISBLANK(Table1368[[#This Row],[Date revente]]),TODAY(),Table1368[[#This Row],[Date revente]])-Table1368[[#This Row],[Date achat]])</f>
        <v>133</v>
      </c>
    </row>
    <row r="115" spans="1:30" x14ac:dyDescent="0.25">
      <c r="A115" s="134">
        <v>46048</v>
      </c>
      <c r="B115" s="146" t="s">
        <v>415</v>
      </c>
      <c r="C115" s="134" t="s">
        <v>416</v>
      </c>
      <c r="D115" s="127" t="s">
        <v>157</v>
      </c>
      <c r="E115" s="127"/>
      <c r="F115" s="127"/>
      <c r="G115" s="134" t="s">
        <v>417</v>
      </c>
      <c r="H115" s="147" t="s">
        <v>194</v>
      </c>
      <c r="I115" s="134" t="s">
        <v>165</v>
      </c>
      <c r="J115" s="134" t="s">
        <v>157</v>
      </c>
      <c r="K115" s="135">
        <v>16.5</v>
      </c>
      <c r="L115" s="135">
        <f>Table1368[[#This Row],[Prix total Achat]]-Table1368[[#This Row],[Prix article]]</f>
        <v>21.455882352941174</v>
      </c>
      <c r="M115" s="135">
        <v>37.955882352941174</v>
      </c>
      <c r="N115" s="134">
        <v>46077</v>
      </c>
      <c r="O115" s="136">
        <f>(Table1368[[#This Row],[Prix total Achat]]*2)</f>
        <v>75.91176470588235</v>
      </c>
      <c r="P115" s="136">
        <f>Table1368[[#This Row],[Prix Min voulu (x2 )]]*1.2</f>
        <v>91.09411764705881</v>
      </c>
      <c r="Q115" s="134">
        <v>46078</v>
      </c>
      <c r="R115" s="134">
        <v>46164</v>
      </c>
      <c r="S115" s="135">
        <v>55</v>
      </c>
      <c r="T115" s="134" t="s">
        <v>160</v>
      </c>
      <c r="U115" s="134" t="s">
        <v>157</v>
      </c>
      <c r="V115" s="137">
        <f>IF(ISBLANK(Table1368[[#This Row],[Date réception Achat]]),"",IF(ISBLANK(Table1368[[#This Row],[Date revente]]),TODAY(),Table1368[[#This Row],[Date revente]])-Table1368[[#This Row],[Date réception Achat]])</f>
        <v>87</v>
      </c>
      <c r="W11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5" s="135">
        <f>IF(Table1368[[#This Row],[Prix de revente]]="","",Table1368[[#This Row],[Prix de revente]]-Table1368[[#This Row],[Prix total Achat]])</f>
        <v>17.044117647058826</v>
      </c>
      <c r="Y115" s="138">
        <f>IF(Table1368[[#This Row],[Prix de revente]]="","",(Table1368[[#This Row],[Prix de revente]]/Table1368[[#This Row],[Prix total Achat]]))</f>
        <v>1.4490507555211158</v>
      </c>
      <c r="Z115" s="139">
        <f>IF(ISBLANK(Table1368[[#This Row],[Date réception Achat]]),"",IF(ISBLANK(Table1368[[#This Row],[Date réception Achat]]),TODAY(),Table1368[[#This Row],[Date réception Achat]])-Table1368[[#This Row],[Date achat]])</f>
        <v>29</v>
      </c>
      <c r="AA115" s="139">
        <f>IF(ISBLANK(Table1368[[#This Row],[Date relisting]]),"",IF(ISBLANK(Table1368[[#This Row],[Date relisting]]),TODAY(),Table1368[[#This Row],[Date relisting]])-Table1368[[#This Row],[Date réception Achat]])</f>
        <v>1</v>
      </c>
      <c r="AB115" s="139">
        <f>IF(ISBLANK(Table1368[[#This Row],[Date revente]]),"",IF(ISBLANK(Table1368[[#This Row],[Date revente]]),TODAY(),Table1368[[#This Row],[Date revente]])-Table1368[[#This Row],[Date relisting]])</f>
        <v>86</v>
      </c>
      <c r="AC115" s="139">
        <f>IF(ISBLANK(Table1368[[#This Row],[Date revente]]),"",IF(ISBLANK(Table1368[[#This Row],[Date revente]]),TODAY(),Table1368[[#This Row],[Date revente]])-Table1368[[#This Row],[Date réception Achat]])</f>
        <v>87</v>
      </c>
      <c r="AD115" s="139">
        <f>IF(ISBLANK(Table1368[[#This Row],[Date revente]]),"",IF(ISBLANK(Table1368[[#This Row],[Date revente]]),TODAY(),Table1368[[#This Row],[Date revente]])-Table1368[[#This Row],[Date achat]])</f>
        <v>116</v>
      </c>
    </row>
    <row r="116" spans="1:30" x14ac:dyDescent="0.25">
      <c r="A116" s="134">
        <v>46048</v>
      </c>
      <c r="B116" s="146" t="s">
        <v>418</v>
      </c>
      <c r="C116" s="134" t="s">
        <v>419</v>
      </c>
      <c r="D116" s="127" t="s">
        <v>157</v>
      </c>
      <c r="E116" s="127"/>
      <c r="F116" s="127"/>
      <c r="G116" s="134" t="s">
        <v>417</v>
      </c>
      <c r="H116" s="147" t="s">
        <v>174</v>
      </c>
      <c r="I116" s="134" t="s">
        <v>165</v>
      </c>
      <c r="J116" s="134" t="s">
        <v>157</v>
      </c>
      <c r="K116" s="135">
        <v>35.75</v>
      </c>
      <c r="L116" s="135">
        <f>Table1368[[#This Row],[Prix total Achat]]-Table1368[[#This Row],[Prix article]]</f>
        <v>21.455882352941174</v>
      </c>
      <c r="M116" s="135">
        <v>57.205882352941174</v>
      </c>
      <c r="N116" s="134">
        <v>46077</v>
      </c>
      <c r="O116" s="136">
        <f>(Table1368[[#This Row],[Prix total Achat]]*2)</f>
        <v>114.41176470588235</v>
      </c>
      <c r="P116" s="136">
        <f>Table1368[[#This Row],[Prix Min voulu (x2 )]]*1.2</f>
        <v>137.2941176470588</v>
      </c>
      <c r="Q116" s="134">
        <v>46078</v>
      </c>
      <c r="R116" s="134">
        <v>46078</v>
      </c>
      <c r="S116" s="135">
        <v>120</v>
      </c>
      <c r="T116" s="134" t="s">
        <v>160</v>
      </c>
      <c r="U116" s="134" t="s">
        <v>157</v>
      </c>
      <c r="V116" s="137">
        <f>IF(ISBLANK(Table1368[[#This Row],[Date réception Achat]]),"",IF(ISBLANK(Table1368[[#This Row],[Date revente]]),TODAY(),Table1368[[#This Row],[Date revente]])-Table1368[[#This Row],[Date réception Achat]])</f>
        <v>1</v>
      </c>
      <c r="W11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6" s="135">
        <f>IF(Table1368[[#This Row],[Prix de revente]]="","",Table1368[[#This Row],[Prix de revente]]-Table1368[[#This Row],[Prix total Achat]])</f>
        <v>62.794117647058826</v>
      </c>
      <c r="Y116" s="138">
        <f>IF(Table1368[[#This Row],[Prix de revente]]="","",(Table1368[[#This Row],[Prix de revente]]/Table1368[[#This Row],[Prix total Achat]]))</f>
        <v>2.097686375321337</v>
      </c>
      <c r="Z116" s="139">
        <f>IF(ISBLANK(Table1368[[#This Row],[Date réception Achat]]),"",IF(ISBLANK(Table1368[[#This Row],[Date réception Achat]]),TODAY(),Table1368[[#This Row],[Date réception Achat]])-Table1368[[#This Row],[Date achat]])</f>
        <v>29</v>
      </c>
      <c r="AA116" s="139">
        <f>IF(ISBLANK(Table1368[[#This Row],[Date relisting]]),"",IF(ISBLANK(Table1368[[#This Row],[Date relisting]]),TODAY(),Table1368[[#This Row],[Date relisting]])-Table1368[[#This Row],[Date réception Achat]])</f>
        <v>1</v>
      </c>
      <c r="AB116" s="139">
        <f>IF(ISBLANK(Table1368[[#This Row],[Date revente]]),"",IF(ISBLANK(Table1368[[#This Row],[Date revente]]),TODAY(),Table1368[[#This Row],[Date revente]])-Table1368[[#This Row],[Date relisting]])</f>
        <v>0</v>
      </c>
      <c r="AC116" s="139">
        <f>IF(ISBLANK(Table1368[[#This Row],[Date revente]]),"",IF(ISBLANK(Table1368[[#This Row],[Date revente]]),TODAY(),Table1368[[#This Row],[Date revente]])-Table1368[[#This Row],[Date réception Achat]])</f>
        <v>1</v>
      </c>
      <c r="AD116" s="139">
        <f>IF(ISBLANK(Table1368[[#This Row],[Date revente]]),"",IF(ISBLANK(Table1368[[#This Row],[Date revente]]),TODAY(),Table1368[[#This Row],[Date revente]])-Table1368[[#This Row],[Date achat]])</f>
        <v>30</v>
      </c>
    </row>
    <row r="117" ht="15" customHeight="1" spans="1:30" x14ac:dyDescent="0.25">
      <c r="A117" s="134">
        <v>46048</v>
      </c>
      <c r="B117" s="151" t="s">
        <v>420</v>
      </c>
      <c r="C117" s="134" t="s">
        <v>421</v>
      </c>
      <c r="D117" s="127" t="s">
        <v>157</v>
      </c>
      <c r="E117" s="127"/>
      <c r="F117" s="127"/>
      <c r="G117" s="134" t="s">
        <v>422</v>
      </c>
      <c r="H117" s="147" t="s">
        <v>194</v>
      </c>
      <c r="I117" s="134" t="s">
        <v>165</v>
      </c>
      <c r="J117" s="134" t="s">
        <v>157</v>
      </c>
      <c r="K117" s="135">
        <v>36.3</v>
      </c>
      <c r="L117" s="135">
        <f>Table1368[[#This Row],[Prix total Achat]]-Table1368[[#This Row],[Prix article]]</f>
        <v>21.455882352941174</v>
      </c>
      <c r="M117" s="135">
        <v>57.75588235294117</v>
      </c>
      <c r="N117" s="134">
        <v>46077</v>
      </c>
      <c r="O117" s="136">
        <f>(Table1368[[#This Row],[Prix total Achat]]*2)</f>
        <v>115.51176470588234</v>
      </c>
      <c r="P117" s="136">
        <f>Table1368[[#This Row],[Prix Min voulu (x2 )]]*1.2</f>
        <v>138.6141176470588</v>
      </c>
      <c r="Q117" s="134">
        <v>46078</v>
      </c>
      <c r="R117" s="134">
        <v>46096</v>
      </c>
      <c r="S117" s="135">
        <v>116</v>
      </c>
      <c r="T117" s="134" t="s">
        <v>160</v>
      </c>
      <c r="U117" s="134" t="s">
        <v>157</v>
      </c>
      <c r="V117" s="137">
        <f>IF(ISBLANK(Table1368[[#This Row],[Date réception Achat]]),"",IF(ISBLANK(Table1368[[#This Row],[Date revente]]),TODAY(),Table1368[[#This Row],[Date revente]])-Table1368[[#This Row],[Date réception Achat]])</f>
        <v>19</v>
      </c>
      <c r="W11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7" s="135">
        <f>IF(Table1368[[#This Row],[Prix de revente]]="","",Table1368[[#This Row],[Prix de revente]]-Table1368[[#This Row],[Prix total Achat]])</f>
        <v>58.24411764705883</v>
      </c>
      <c r="Y117" s="138">
        <f>IF(Table1368[[#This Row],[Prix de revente]]="","",(Table1368[[#This Row],[Prix de revente]]/Table1368[[#This Row],[Prix total Achat]]))</f>
        <v>2.008453429749962</v>
      </c>
      <c r="Z117" s="139">
        <f>IF(ISBLANK(Table1368[[#This Row],[Date réception Achat]]),"",IF(ISBLANK(Table1368[[#This Row],[Date réception Achat]]),TODAY(),Table1368[[#This Row],[Date réception Achat]])-Table1368[[#This Row],[Date achat]])</f>
        <v>29</v>
      </c>
      <c r="AA117" s="139">
        <f>IF(ISBLANK(Table1368[[#This Row],[Date relisting]]),"",IF(ISBLANK(Table1368[[#This Row],[Date relisting]]),TODAY(),Table1368[[#This Row],[Date relisting]])-Table1368[[#This Row],[Date réception Achat]])</f>
        <v>1</v>
      </c>
      <c r="AB117" s="139">
        <f>IF(ISBLANK(Table1368[[#This Row],[Date revente]]),"",IF(ISBLANK(Table1368[[#This Row],[Date revente]]),TODAY(),Table1368[[#This Row],[Date revente]])-Table1368[[#This Row],[Date relisting]])</f>
        <v>18</v>
      </c>
      <c r="AC117" s="139">
        <f>IF(ISBLANK(Table1368[[#This Row],[Date revente]]),"",IF(ISBLANK(Table1368[[#This Row],[Date revente]]),TODAY(),Table1368[[#This Row],[Date revente]])-Table1368[[#This Row],[Date réception Achat]])</f>
        <v>19</v>
      </c>
      <c r="AD117" s="139">
        <f>IF(ISBLANK(Table1368[[#This Row],[Date revente]]),"",IF(ISBLANK(Table1368[[#This Row],[Date revente]]),TODAY(),Table1368[[#This Row],[Date revente]])-Table1368[[#This Row],[Date achat]])</f>
        <v>48</v>
      </c>
    </row>
    <row r="118" spans="1:30" x14ac:dyDescent="0.25">
      <c r="A118" s="134">
        <v>46048</v>
      </c>
      <c r="B118" s="146" t="s">
        <v>423</v>
      </c>
      <c r="C118" s="134" t="s">
        <v>424</v>
      </c>
      <c r="D118" s="127" t="s">
        <v>157</v>
      </c>
      <c r="E118" s="127"/>
      <c r="F118" s="127"/>
      <c r="G118" s="134" t="s">
        <v>425</v>
      </c>
      <c r="H118" s="147">
        <v>38</v>
      </c>
      <c r="I118" s="134" t="s">
        <v>165</v>
      </c>
      <c r="J118" s="134" t="s">
        <v>157</v>
      </c>
      <c r="K118" s="135">
        <v>19.25</v>
      </c>
      <c r="L118" s="135">
        <f>Table1368[[#This Row],[Prix total Achat]]-Table1368[[#This Row],[Prix article]]</f>
        <v>21.455882352941174</v>
      </c>
      <c r="M118" s="135">
        <v>40.705882352941174</v>
      </c>
      <c r="N118" s="134">
        <v>46077</v>
      </c>
      <c r="O118" s="136">
        <f>(Table1368[[#This Row],[Prix total Achat]]*2)</f>
        <v>81.41176470588235</v>
      </c>
      <c r="P118" s="136">
        <f>Table1368[[#This Row],[Prix Min voulu (x2 )]]*1.2</f>
        <v>97.69411764705882</v>
      </c>
      <c r="Q118" s="134">
        <v>46078</v>
      </c>
      <c r="R118" s="134">
        <v>46138</v>
      </c>
      <c r="S118" s="135">
        <v>50</v>
      </c>
      <c r="T118" s="134" t="s">
        <v>160</v>
      </c>
      <c r="U118" s="134" t="s">
        <v>157</v>
      </c>
      <c r="V118" s="137">
        <f>IF(ISBLANK(Table1368[[#This Row],[Date réception Achat]]),"",IF(ISBLANK(Table1368[[#This Row],[Date revente]]),TODAY(),Table1368[[#This Row],[Date revente]])-Table1368[[#This Row],[Date réception Achat]])</f>
        <v>61</v>
      </c>
      <c r="W11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18" s="135">
        <f>IF(Table1368[[#This Row],[Prix de revente]]="","",Table1368[[#This Row],[Prix de revente]]-Table1368[[#This Row],[Prix total Achat]])</f>
        <v>9.294117647058826</v>
      </c>
      <c r="Y118" s="138">
        <f>IF(Table1368[[#This Row],[Prix de revente]]="","",(Table1368[[#This Row],[Prix de revente]]/Table1368[[#This Row],[Prix total Achat]]))</f>
        <v>1.2283236994219653</v>
      </c>
      <c r="Z118" s="139">
        <f>IF(ISBLANK(Table1368[[#This Row],[Date réception Achat]]),"",IF(ISBLANK(Table1368[[#This Row],[Date réception Achat]]),TODAY(),Table1368[[#This Row],[Date réception Achat]])-Table1368[[#This Row],[Date achat]])</f>
        <v>29</v>
      </c>
      <c r="AA118" s="139">
        <f>IF(ISBLANK(Table1368[[#This Row],[Date relisting]]),"",IF(ISBLANK(Table1368[[#This Row],[Date relisting]]),TODAY(),Table1368[[#This Row],[Date relisting]])-Table1368[[#This Row],[Date réception Achat]])</f>
        <v>1</v>
      </c>
      <c r="AB118" s="139">
        <f>IF(ISBLANK(Table1368[[#This Row],[Date revente]]),"",IF(ISBLANK(Table1368[[#This Row],[Date revente]]),TODAY(),Table1368[[#This Row],[Date revente]])-Table1368[[#This Row],[Date relisting]])</f>
        <v>60</v>
      </c>
      <c r="AC118" s="139">
        <f>IF(ISBLANK(Table1368[[#This Row],[Date revente]]),"",IF(ISBLANK(Table1368[[#This Row],[Date revente]]),TODAY(),Table1368[[#This Row],[Date revente]])-Table1368[[#This Row],[Date réception Achat]])</f>
        <v>61</v>
      </c>
      <c r="AD118" s="139">
        <f>IF(ISBLANK(Table1368[[#This Row],[Date revente]]),"",IF(ISBLANK(Table1368[[#This Row],[Date revente]]),TODAY(),Table1368[[#This Row],[Date revente]])-Table1368[[#This Row],[Date achat]])</f>
        <v>90</v>
      </c>
    </row>
    <row r="119" spans="1:30" x14ac:dyDescent="0.25">
      <c r="A119" s="134">
        <v>46048</v>
      </c>
      <c r="B119" s="146" t="s">
        <v>426</v>
      </c>
      <c r="C119" s="134" t="s">
        <v>427</v>
      </c>
      <c r="D119" s="127" t="s">
        <v>157</v>
      </c>
      <c r="E119" s="127"/>
      <c r="F119" s="127"/>
      <c r="G119" s="134" t="s">
        <v>417</v>
      </c>
      <c r="H119" s="147" t="s">
        <v>428</v>
      </c>
      <c r="I119" s="134" t="s">
        <v>165</v>
      </c>
      <c r="J119" s="134" t="s">
        <v>157</v>
      </c>
      <c r="K119" s="135">
        <v>16.5</v>
      </c>
      <c r="L119" s="135">
        <f>Table1368[[#This Row],[Prix total Achat]]-Table1368[[#This Row],[Prix article]]</f>
        <v>21.455882352941174</v>
      </c>
      <c r="M119" s="135">
        <v>37.955882352941174</v>
      </c>
      <c r="N119" s="134">
        <v>46071</v>
      </c>
      <c r="O119" s="136">
        <f>(Table1368[[#This Row],[Prix total Achat]]*2)</f>
        <v>75.91176470588235</v>
      </c>
      <c r="P119" s="136">
        <f>Table1368[[#This Row],[Prix Min voulu (x2 )]]*1.2</f>
        <v>91.09411764705881</v>
      </c>
      <c r="Q119" s="134">
        <v>46073</v>
      </c>
      <c r="R119" s="134"/>
      <c r="S119" s="135"/>
      <c r="T119" s="134"/>
      <c r="U119" s="134" t="s">
        <v>157</v>
      </c>
      <c r="V119" s="137">
        <f>IF(ISBLANK(Table1368[[#This Row],[Date réception Achat]]),"",IF(ISBLANK(Table1368[[#This Row],[Date revente]]),TODAY(),Table1368[[#This Row],[Date revente]])-Table1368[[#This Row],[Date réception Achat]])</f>
        <v>232</v>
      </c>
      <c r="W11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19" s="135">
        <f>IF(Table1368[[#This Row],[Prix de revente]]="","",Table1368[[#This Row],[Prix de revente]]-Table1368[[#This Row],[Prix total Achat]])</f>
      </c>
      <c r="Y119" s="138">
        <f>IF(Table1368[[#This Row],[Prix de revente]]="","",(Table1368[[#This Row],[Prix de revente]]/Table1368[[#This Row],[Prix total Achat]]))</f>
      </c>
      <c r="Z119" s="139">
        <f>IF(ISBLANK(Table1368[[#This Row],[Date réception Achat]]),"",IF(ISBLANK(Table1368[[#This Row],[Date réception Achat]]),TODAY(),Table1368[[#This Row],[Date réception Achat]])-Table1368[[#This Row],[Date achat]])</f>
        <v>23</v>
      </c>
      <c r="AA119" s="139">
        <f>IF(ISBLANK(Table1368[[#This Row],[Date relisting]]),"",IF(ISBLANK(Table1368[[#This Row],[Date relisting]]),TODAY(),Table1368[[#This Row],[Date relisting]])-Table1368[[#This Row],[Date réception Achat]])</f>
        <v>2</v>
      </c>
      <c r="AB119" s="139">
        <f>IF(ISBLANK(Table1368[[#This Row],[Date revente]]),"",IF(ISBLANK(Table1368[[#This Row],[Date revente]]),TODAY(),Table1368[[#This Row],[Date revente]])-Table1368[[#This Row],[Date relisting]])</f>
      </c>
      <c r="AC119" s="139">
        <f>IF(ISBLANK(Table1368[[#This Row],[Date revente]]),"",IF(ISBLANK(Table1368[[#This Row],[Date revente]]),TODAY(),Table1368[[#This Row],[Date revente]])-Table1368[[#This Row],[Date réception Achat]])</f>
      </c>
      <c r="AD119" s="139">
        <f>IF(ISBLANK(Table1368[[#This Row],[Date revente]]),"",IF(ISBLANK(Table1368[[#This Row],[Date revente]]),TODAY(),Table1368[[#This Row],[Date revente]])-Table1368[[#This Row],[Date achat]])</f>
      </c>
    </row>
    <row r="120" spans="1:30" x14ac:dyDescent="0.25">
      <c r="A120" s="134">
        <v>46048</v>
      </c>
      <c r="B120" s="146" t="s">
        <v>429</v>
      </c>
      <c r="C120" s="134" t="s">
        <v>430</v>
      </c>
      <c r="D120" s="127" t="s">
        <v>157</v>
      </c>
      <c r="E120" s="127"/>
      <c r="F120" s="127"/>
      <c r="G120" s="134" t="s">
        <v>431</v>
      </c>
      <c r="H120" s="147" t="s">
        <v>432</v>
      </c>
      <c r="I120" s="134" t="s">
        <v>165</v>
      </c>
      <c r="J120" s="134" t="s">
        <v>157</v>
      </c>
      <c r="K120" s="135">
        <v>23.099999999999998</v>
      </c>
      <c r="L120" s="135">
        <f>Table1368[[#This Row],[Prix total Achat]]-Table1368[[#This Row],[Prix article]]</f>
        <v>21.455882352941178</v>
      </c>
      <c r="M120" s="135">
        <v>44.555882352941175</v>
      </c>
      <c r="N120" s="134">
        <v>46071</v>
      </c>
      <c r="O120" s="136">
        <f>(Table1368[[#This Row],[Prix total Achat]]*2)</f>
        <v>89.11176470588235</v>
      </c>
      <c r="P120" s="136">
        <f>Table1368[[#This Row],[Prix Min voulu (x2 )]]*1.2</f>
        <v>106.93411764705881</v>
      </c>
      <c r="Q120" s="134">
        <v>46073</v>
      </c>
      <c r="R120" s="134">
        <v>46082</v>
      </c>
      <c r="S120" s="135">
        <v>90</v>
      </c>
      <c r="T120" s="134" t="s">
        <v>160</v>
      </c>
      <c r="U120" s="134" t="s">
        <v>157</v>
      </c>
      <c r="V120" s="137">
        <f>IF(ISBLANK(Table1368[[#This Row],[Date réception Achat]]),"",IF(ISBLANK(Table1368[[#This Row],[Date revente]]),TODAY(),Table1368[[#This Row],[Date revente]])-Table1368[[#This Row],[Date réception Achat]])</f>
        <v>11</v>
      </c>
      <c r="W12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0" s="135">
        <f>IF(Table1368[[#This Row],[Prix de revente]]="","",Table1368[[#This Row],[Prix de revente]]-Table1368[[#This Row],[Prix total Achat]])</f>
        <v>45.444117647058825</v>
      </c>
      <c r="Y120" s="138">
        <f>IF(Table1368[[#This Row],[Prix de revente]]="","",(Table1368[[#This Row],[Prix de revente]]/Table1368[[#This Row],[Prix total Achat]]))</f>
        <v>2.0199353092613372</v>
      </c>
      <c r="Z120" s="139">
        <f>IF(ISBLANK(Table1368[[#This Row],[Date réception Achat]]),"",IF(ISBLANK(Table1368[[#This Row],[Date réception Achat]]),TODAY(),Table1368[[#This Row],[Date réception Achat]])-Table1368[[#This Row],[Date achat]])</f>
        <v>23</v>
      </c>
      <c r="AA120" s="139">
        <f>IF(ISBLANK(Table1368[[#This Row],[Date relisting]]),"",IF(ISBLANK(Table1368[[#This Row],[Date relisting]]),TODAY(),Table1368[[#This Row],[Date relisting]])-Table1368[[#This Row],[Date réception Achat]])</f>
        <v>2</v>
      </c>
      <c r="AB120" s="139">
        <f>IF(ISBLANK(Table1368[[#This Row],[Date revente]]),"",IF(ISBLANK(Table1368[[#This Row],[Date revente]]),TODAY(),Table1368[[#This Row],[Date revente]])-Table1368[[#This Row],[Date relisting]])</f>
        <v>9</v>
      </c>
      <c r="AC120" s="139">
        <f>IF(ISBLANK(Table1368[[#This Row],[Date revente]]),"",IF(ISBLANK(Table1368[[#This Row],[Date revente]]),TODAY(),Table1368[[#This Row],[Date revente]])-Table1368[[#This Row],[Date réception Achat]])</f>
        <v>11</v>
      </c>
      <c r="AD120" s="139">
        <f>IF(ISBLANK(Table1368[[#This Row],[Date revente]]),"",IF(ISBLANK(Table1368[[#This Row],[Date revente]]),TODAY(),Table1368[[#This Row],[Date revente]])-Table1368[[#This Row],[Date achat]])</f>
        <v>34</v>
      </c>
    </row>
    <row r="121" spans="1:30" x14ac:dyDescent="0.25">
      <c r="A121" s="134">
        <v>46048</v>
      </c>
      <c r="B121" s="146" t="s">
        <v>433</v>
      </c>
      <c r="C121" s="134" t="s">
        <v>434</v>
      </c>
      <c r="D121" s="127" t="s">
        <v>157</v>
      </c>
      <c r="E121" s="127"/>
      <c r="F121" s="127"/>
      <c r="G121" s="134" t="s">
        <v>382</v>
      </c>
      <c r="H121" s="149" t="s">
        <v>435</v>
      </c>
      <c r="I121" s="134" t="s">
        <v>165</v>
      </c>
      <c r="J121" s="134" t="s">
        <v>157</v>
      </c>
      <c r="K121" s="135">
        <v>34.1</v>
      </c>
      <c r="L121" s="135">
        <f>Table1368[[#This Row],[Prix total Achat]]-Table1368[[#This Row],[Prix article]]</f>
        <v>21.45588235294118</v>
      </c>
      <c r="M121" s="135">
        <v>55.55588235294118</v>
      </c>
      <c r="N121" s="134">
        <v>46071</v>
      </c>
      <c r="O121" s="136">
        <f>(Table1368[[#This Row],[Prix total Achat]]*2)</f>
        <v>111.11176470588236</v>
      </c>
      <c r="P121" s="136">
        <f>Table1368[[#This Row],[Prix Min voulu (x2 )]]*1.2</f>
        <v>133.33411764705883</v>
      </c>
      <c r="Q121" s="134">
        <v>46073</v>
      </c>
      <c r="R121" s="134">
        <v>46142</v>
      </c>
      <c r="S121" s="135">
        <v>75</v>
      </c>
      <c r="T121" s="134" t="s">
        <v>160</v>
      </c>
      <c r="U121" s="134" t="s">
        <v>157</v>
      </c>
      <c r="V121" s="137">
        <f>IF(ISBLANK(Table1368[[#This Row],[Date réception Achat]]),"",IF(ISBLANK(Table1368[[#This Row],[Date revente]]),TODAY(),Table1368[[#This Row],[Date revente]])-Table1368[[#This Row],[Date réception Achat]])</f>
        <v>71</v>
      </c>
      <c r="W12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1" s="135">
        <f>IF(Table1368[[#This Row],[Prix de revente]]="","",Table1368[[#This Row],[Prix de revente]]-Table1368[[#This Row],[Prix total Achat]])</f>
        <v>19.444117647058818</v>
      </c>
      <c r="Y121" s="138">
        <f>IF(Table1368[[#This Row],[Prix de revente]]="","",(Table1368[[#This Row],[Prix de revente]]/Table1368[[#This Row],[Prix total Achat]]))</f>
        <v>1.3499920588702419</v>
      </c>
      <c r="Z121" s="139">
        <f>IF(ISBLANK(Table1368[[#This Row],[Date réception Achat]]),"",IF(ISBLANK(Table1368[[#This Row],[Date réception Achat]]),TODAY(),Table1368[[#This Row],[Date réception Achat]])-Table1368[[#This Row],[Date achat]])</f>
        <v>23</v>
      </c>
      <c r="AA121" s="139">
        <f>IF(ISBLANK(Table1368[[#This Row],[Date relisting]]),"",IF(ISBLANK(Table1368[[#This Row],[Date relisting]]),TODAY(),Table1368[[#This Row],[Date relisting]])-Table1368[[#This Row],[Date réception Achat]])</f>
        <v>2</v>
      </c>
      <c r="AB121" s="139">
        <f>IF(ISBLANK(Table1368[[#This Row],[Date revente]]),"",IF(ISBLANK(Table1368[[#This Row],[Date revente]]),TODAY(),Table1368[[#This Row],[Date revente]])-Table1368[[#This Row],[Date relisting]])</f>
        <v>69</v>
      </c>
      <c r="AC121" s="139">
        <f>IF(ISBLANK(Table1368[[#This Row],[Date revente]]),"",IF(ISBLANK(Table1368[[#This Row],[Date revente]]),TODAY(),Table1368[[#This Row],[Date revente]])-Table1368[[#This Row],[Date réception Achat]])</f>
        <v>71</v>
      </c>
      <c r="AD121" s="139">
        <f>IF(ISBLANK(Table1368[[#This Row],[Date revente]]),"",IF(ISBLANK(Table1368[[#This Row],[Date revente]]),TODAY(),Table1368[[#This Row],[Date revente]])-Table1368[[#This Row],[Date achat]])</f>
        <v>94</v>
      </c>
    </row>
    <row r="122" spans="1:30" x14ac:dyDescent="0.25">
      <c r="A122" s="134">
        <v>46048</v>
      </c>
      <c r="B122" s="146" t="s">
        <v>436</v>
      </c>
      <c r="C122" s="134" t="s">
        <v>437</v>
      </c>
      <c r="D122" s="127" t="s">
        <v>157</v>
      </c>
      <c r="E122" s="127"/>
      <c r="F122" s="127"/>
      <c r="G122" s="134" t="s">
        <v>438</v>
      </c>
      <c r="H122" s="147" t="s">
        <v>178</v>
      </c>
      <c r="I122" s="134" t="s">
        <v>165</v>
      </c>
      <c r="J122" s="134" t="s">
        <v>157</v>
      </c>
      <c r="K122" s="135">
        <v>38.39</v>
      </c>
      <c r="L122" s="135">
        <f>Table1368[[#This Row],[Prix total Achat]]-Table1368[[#This Row],[Prix article]]</f>
        <v>21.455882352941174</v>
      </c>
      <c r="M122" s="135">
        <v>59.845882352941175</v>
      </c>
      <c r="N122" s="134">
        <v>46071</v>
      </c>
      <c r="O122" s="136">
        <f>(Table1368[[#This Row],[Prix total Achat]]*2)</f>
        <v>119.69176470588235</v>
      </c>
      <c r="P122" s="136">
        <f>Table1368[[#This Row],[Prix Min voulu (x2 )]]*1.2</f>
        <v>143.63011764705882</v>
      </c>
      <c r="Q122" s="134">
        <v>46073</v>
      </c>
      <c r="R122" s="134">
        <v>46144</v>
      </c>
      <c r="S122" s="135">
        <v>70</v>
      </c>
      <c r="T122" s="134" t="s">
        <v>160</v>
      </c>
      <c r="U122" s="134" t="s">
        <v>157</v>
      </c>
      <c r="V122" s="137">
        <f>IF(ISBLANK(Table1368[[#This Row],[Date réception Achat]]),"",IF(ISBLANK(Table1368[[#This Row],[Date revente]]),TODAY(),Table1368[[#This Row],[Date revente]])-Table1368[[#This Row],[Date réception Achat]])</f>
        <v>73</v>
      </c>
      <c r="W12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2" s="135">
        <f>IF(Table1368[[#This Row],[Prix de revente]]="","",Table1368[[#This Row],[Prix de revente]]-Table1368[[#This Row],[Prix total Achat]])</f>
        <v>10.154117647058825</v>
      </c>
      <c r="Y122" s="138">
        <f>IF(Table1368[[#This Row],[Prix de revente]]="","",(Table1368[[#This Row],[Prix de revente]]/Table1368[[#This Row],[Prix total Achat]]))</f>
        <v>1.169671116003853</v>
      </c>
      <c r="Z122" s="139">
        <f>IF(ISBLANK(Table1368[[#This Row],[Date réception Achat]]),"",IF(ISBLANK(Table1368[[#This Row],[Date réception Achat]]),TODAY(),Table1368[[#This Row],[Date réception Achat]])-Table1368[[#This Row],[Date achat]])</f>
        <v>23</v>
      </c>
      <c r="AA122" s="139">
        <f>IF(ISBLANK(Table1368[[#This Row],[Date relisting]]),"",IF(ISBLANK(Table1368[[#This Row],[Date relisting]]),TODAY(),Table1368[[#This Row],[Date relisting]])-Table1368[[#This Row],[Date réception Achat]])</f>
        <v>2</v>
      </c>
      <c r="AB122" s="139">
        <f>IF(ISBLANK(Table1368[[#This Row],[Date revente]]),"",IF(ISBLANK(Table1368[[#This Row],[Date revente]]),TODAY(),Table1368[[#This Row],[Date revente]])-Table1368[[#This Row],[Date relisting]])</f>
        <v>71</v>
      </c>
      <c r="AC122" s="139">
        <f>IF(ISBLANK(Table1368[[#This Row],[Date revente]]),"",IF(ISBLANK(Table1368[[#This Row],[Date revente]]),TODAY(),Table1368[[#This Row],[Date revente]])-Table1368[[#This Row],[Date réception Achat]])</f>
        <v>73</v>
      </c>
      <c r="AD122" s="139">
        <f>IF(ISBLANK(Table1368[[#This Row],[Date revente]]),"",IF(ISBLANK(Table1368[[#This Row],[Date revente]]),TODAY(),Table1368[[#This Row],[Date revente]])-Table1368[[#This Row],[Date achat]])</f>
        <v>96</v>
      </c>
    </row>
    <row r="123" spans="1:30" x14ac:dyDescent="0.25">
      <c r="A123" s="134">
        <v>46048</v>
      </c>
      <c r="B123" s="146" t="s">
        <v>439</v>
      </c>
      <c r="C123" s="134" t="s">
        <v>440</v>
      </c>
      <c r="D123" s="127" t="s">
        <v>157</v>
      </c>
      <c r="E123" s="127"/>
      <c r="F123" s="127"/>
      <c r="G123" s="134" t="s">
        <v>417</v>
      </c>
      <c r="H123" s="147" t="s">
        <v>194</v>
      </c>
      <c r="I123" s="134" t="s">
        <v>165</v>
      </c>
      <c r="J123" s="134" t="s">
        <v>157</v>
      </c>
      <c r="K123" s="135">
        <v>24.2</v>
      </c>
      <c r="L123" s="135">
        <f>Table1368[[#This Row],[Prix total Achat]]-Table1368[[#This Row],[Prix article]]</f>
        <v>21.455882352941178</v>
      </c>
      <c r="M123" s="135">
        <v>45.65588235294118</v>
      </c>
      <c r="N123" s="134">
        <v>46071</v>
      </c>
      <c r="O123" s="136">
        <f>(Table1368[[#This Row],[Prix total Achat]]*2)</f>
        <v>91.31176470588235</v>
      </c>
      <c r="P123" s="136">
        <f>Table1368[[#This Row],[Prix Min voulu (x2 )]]*1.2</f>
        <v>109.57411764705883</v>
      </c>
      <c r="Q123" s="134">
        <v>46073</v>
      </c>
      <c r="R123" s="134">
        <v>46303</v>
      </c>
      <c r="S123" s="135">
        <v>67.5</v>
      </c>
      <c r="T123" s="134" t="s">
        <v>160</v>
      </c>
      <c r="U123" s="134" t="s">
        <v>157</v>
      </c>
      <c r="V123" s="137">
        <f>IF(ISBLANK(Table1368[[#This Row],[Date réception Achat]]),"",IF(ISBLANK(Table1368[[#This Row],[Date revente]]),TODAY(),Table1368[[#This Row],[Date revente]])-Table1368[[#This Row],[Date réception Achat]])</f>
        <v>232</v>
      </c>
      <c r="W12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3" s="135">
        <f>IF(Table1368[[#This Row],[Prix de revente]]="","",Table1368[[#This Row],[Prix de revente]]-Table1368[[#This Row],[Prix total Achat]])</f>
        <v>21.844117647058823</v>
      </c>
      <c r="Y123" s="138">
        <f>IF(Table1368[[#This Row],[Prix de revente]]="","",(Table1368[[#This Row],[Prix de revente]]/Table1368[[#This Row],[Prix total Achat]]))</f>
        <v>1.4784513302840945</v>
      </c>
      <c r="Z123" s="139">
        <f>IF(ISBLANK(Table1368[[#This Row],[Date réception Achat]]),"",IF(ISBLANK(Table1368[[#This Row],[Date réception Achat]]),TODAY(),Table1368[[#This Row],[Date réception Achat]])-Table1368[[#This Row],[Date achat]])</f>
        <v>23</v>
      </c>
      <c r="AA123" s="139">
        <f>IF(ISBLANK(Table1368[[#This Row],[Date relisting]]),"",IF(ISBLANK(Table1368[[#This Row],[Date relisting]]),TODAY(),Table1368[[#This Row],[Date relisting]])-Table1368[[#This Row],[Date réception Achat]])</f>
        <v>2</v>
      </c>
      <c r="AB123" s="139">
        <f>IF(ISBLANK(Table1368[[#This Row],[Date revente]]),"",IF(ISBLANK(Table1368[[#This Row],[Date revente]]),TODAY(),Table1368[[#This Row],[Date revente]])-Table1368[[#This Row],[Date relisting]])</f>
        <v>230</v>
      </c>
      <c r="AC123" s="139">
        <f>IF(ISBLANK(Table1368[[#This Row],[Date revente]]),"",IF(ISBLANK(Table1368[[#This Row],[Date revente]]),TODAY(),Table1368[[#This Row],[Date revente]])-Table1368[[#This Row],[Date réception Achat]])</f>
        <v>232</v>
      </c>
      <c r="AD123" s="139">
        <f>IF(ISBLANK(Table1368[[#This Row],[Date revente]]),"",IF(ISBLANK(Table1368[[#This Row],[Date revente]]),TODAY(),Table1368[[#This Row],[Date revente]])-Table1368[[#This Row],[Date achat]])</f>
        <v>255</v>
      </c>
    </row>
    <row r="124" spans="1:30" x14ac:dyDescent="0.25">
      <c r="A124" s="134">
        <v>46048</v>
      </c>
      <c r="B124" s="146" t="s">
        <v>441</v>
      </c>
      <c r="C124" s="134" t="s">
        <v>442</v>
      </c>
      <c r="D124" s="127" t="s">
        <v>157</v>
      </c>
      <c r="E124" s="127"/>
      <c r="F124" s="127"/>
      <c r="G124" s="134" t="s">
        <v>443</v>
      </c>
      <c r="H124" s="147" t="s">
        <v>178</v>
      </c>
      <c r="I124" s="134" t="s">
        <v>165</v>
      </c>
      <c r="J124" s="134" t="s">
        <v>157</v>
      </c>
      <c r="K124" s="135">
        <v>33</v>
      </c>
      <c r="L124" s="135">
        <f>Table1368[[#This Row],[Prix total Achat]]-Table1368[[#This Row],[Prix article]]</f>
        <v>21.455882352941174</v>
      </c>
      <c r="M124" s="135">
        <v>54.455882352941174</v>
      </c>
      <c r="N124" s="134">
        <v>46065</v>
      </c>
      <c r="O124" s="136">
        <f>(Table1368[[#This Row],[Prix total Achat]]*2)</f>
        <v>108.91176470588235</v>
      </c>
      <c r="P124" s="136">
        <f>Table1368[[#This Row],[Prix Min voulu (x2 )]]*1.2</f>
        <v>130.69411764705882</v>
      </c>
      <c r="Q124" s="134">
        <v>46073</v>
      </c>
      <c r="R124" s="134">
        <v>46084</v>
      </c>
      <c r="S124" s="135">
        <v>115</v>
      </c>
      <c r="T124" s="134" t="s">
        <v>160</v>
      </c>
      <c r="U124" s="134" t="s">
        <v>157</v>
      </c>
      <c r="V124" s="137">
        <f>IF(ISBLANK(Table1368[[#This Row],[Date réception Achat]]),"",IF(ISBLANK(Table1368[[#This Row],[Date revente]]),TODAY(),Table1368[[#This Row],[Date revente]])-Table1368[[#This Row],[Date réception Achat]])</f>
        <v>19</v>
      </c>
      <c r="W12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4" s="135">
        <f>IF(Table1368[[#This Row],[Prix de revente]]="","",Table1368[[#This Row],[Prix de revente]]-Table1368[[#This Row],[Prix total Achat]])</f>
        <v>60.544117647058826</v>
      </c>
      <c r="Y124" s="138">
        <f>IF(Table1368[[#This Row],[Prix de revente]]="","",(Table1368[[#This Row],[Prix de revente]]/Table1368[[#This Row],[Prix total Achat]]))</f>
        <v>2.111801242236025</v>
      </c>
      <c r="Z124" s="139">
        <f>IF(ISBLANK(Table1368[[#This Row],[Date réception Achat]]),"",IF(ISBLANK(Table1368[[#This Row],[Date réception Achat]]),TODAY(),Table1368[[#This Row],[Date réception Achat]])-Table1368[[#This Row],[Date achat]])</f>
        <v>17</v>
      </c>
      <c r="AA124" s="139">
        <f>IF(ISBLANK(Table1368[[#This Row],[Date relisting]]),"",IF(ISBLANK(Table1368[[#This Row],[Date relisting]]),TODAY(),Table1368[[#This Row],[Date relisting]])-Table1368[[#This Row],[Date réception Achat]])</f>
        <v>8</v>
      </c>
      <c r="AB124" s="139">
        <f>IF(ISBLANK(Table1368[[#This Row],[Date revente]]),"",IF(ISBLANK(Table1368[[#This Row],[Date revente]]),TODAY(),Table1368[[#This Row],[Date revente]])-Table1368[[#This Row],[Date relisting]])</f>
        <v>11</v>
      </c>
      <c r="AC124" s="139">
        <f>IF(ISBLANK(Table1368[[#This Row],[Date revente]]),"",IF(ISBLANK(Table1368[[#This Row],[Date revente]]),TODAY(),Table1368[[#This Row],[Date revente]])-Table1368[[#This Row],[Date réception Achat]])</f>
        <v>19</v>
      </c>
      <c r="AD124" s="139">
        <f>IF(ISBLANK(Table1368[[#This Row],[Date revente]]),"",IF(ISBLANK(Table1368[[#This Row],[Date revente]]),TODAY(),Table1368[[#This Row],[Date revente]])-Table1368[[#This Row],[Date achat]])</f>
        <v>36</v>
      </c>
    </row>
    <row r="125" spans="1:30" x14ac:dyDescent="0.25">
      <c r="A125" s="134">
        <v>46048</v>
      </c>
      <c r="B125" s="146" t="s">
        <v>444</v>
      </c>
      <c r="C125" s="134" t="s">
        <v>445</v>
      </c>
      <c r="D125" s="127" t="s">
        <v>157</v>
      </c>
      <c r="E125" s="127"/>
      <c r="F125" s="127"/>
      <c r="G125" s="134" t="s">
        <v>417</v>
      </c>
      <c r="H125" s="147" t="s">
        <v>174</v>
      </c>
      <c r="I125" s="134" t="s">
        <v>165</v>
      </c>
      <c r="J125" s="134" t="s">
        <v>157</v>
      </c>
      <c r="K125" s="135">
        <v>27.5</v>
      </c>
      <c r="L125" s="135">
        <f>Table1368[[#This Row],[Prix total Achat]]-Table1368[[#This Row],[Prix article]]</f>
        <v>21.455882352941174</v>
      </c>
      <c r="M125" s="135">
        <v>48.955882352941174</v>
      </c>
      <c r="N125" s="134">
        <v>46065</v>
      </c>
      <c r="O125" s="136">
        <f>(Table1368[[#This Row],[Prix total Achat]]*2)</f>
        <v>97.91176470588235</v>
      </c>
      <c r="P125" s="136">
        <f>Table1368[[#This Row],[Prix Min voulu (x2 )]]*1.2</f>
        <v>117.49411764705881</v>
      </c>
      <c r="Q125" s="134">
        <v>46073</v>
      </c>
      <c r="R125" s="134">
        <v>46286</v>
      </c>
      <c r="S125" s="135">
        <v>100</v>
      </c>
      <c r="T125" s="134" t="s">
        <v>160</v>
      </c>
      <c r="U125" s="134" t="s">
        <v>157</v>
      </c>
      <c r="V125" s="137">
        <f>IF(ISBLANK(Table1368[[#This Row],[Date réception Achat]]),"",IF(ISBLANK(Table1368[[#This Row],[Date revente]]),TODAY(),Table1368[[#This Row],[Date revente]])-Table1368[[#This Row],[Date réception Achat]])</f>
        <v>221</v>
      </c>
      <c r="W12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5" s="135">
        <f>IF(Table1368[[#This Row],[Prix de revente]]="","",Table1368[[#This Row],[Prix de revente]]-Table1368[[#This Row],[Prix total Achat]])</f>
        <v>51.044117647058826</v>
      </c>
      <c r="Y125" s="138">
        <f>IF(Table1368[[#This Row],[Prix de revente]]="","",(Table1368[[#This Row],[Prix de revente]]/Table1368[[#This Row],[Prix total Achat]]))</f>
        <v>2.0426554520877143</v>
      </c>
      <c r="Z125" s="139">
        <f>IF(ISBLANK(Table1368[[#This Row],[Date réception Achat]]),"",IF(ISBLANK(Table1368[[#This Row],[Date réception Achat]]),TODAY(),Table1368[[#This Row],[Date réception Achat]])-Table1368[[#This Row],[Date achat]])</f>
        <v>17</v>
      </c>
      <c r="AA125" s="139">
        <f>IF(ISBLANK(Table1368[[#This Row],[Date relisting]]),"",IF(ISBLANK(Table1368[[#This Row],[Date relisting]]),TODAY(),Table1368[[#This Row],[Date relisting]])-Table1368[[#This Row],[Date réception Achat]])</f>
        <v>8</v>
      </c>
      <c r="AB125" s="139">
        <f>IF(ISBLANK(Table1368[[#This Row],[Date revente]]),"",IF(ISBLANK(Table1368[[#This Row],[Date revente]]),TODAY(),Table1368[[#This Row],[Date revente]])-Table1368[[#This Row],[Date relisting]])</f>
        <v>213</v>
      </c>
      <c r="AC125" s="139">
        <f>IF(ISBLANK(Table1368[[#This Row],[Date revente]]),"",IF(ISBLANK(Table1368[[#This Row],[Date revente]]),TODAY(),Table1368[[#This Row],[Date revente]])-Table1368[[#This Row],[Date réception Achat]])</f>
        <v>221</v>
      </c>
      <c r="AD125" s="139">
        <f>IF(ISBLANK(Table1368[[#This Row],[Date revente]]),"",IF(ISBLANK(Table1368[[#This Row],[Date revente]]),TODAY(),Table1368[[#This Row],[Date revente]])-Table1368[[#This Row],[Date achat]])</f>
        <v>238</v>
      </c>
    </row>
    <row r="126" spans="1:30" x14ac:dyDescent="0.25">
      <c r="A126" s="134">
        <v>46048</v>
      </c>
      <c r="B126" s="146" t="s">
        <v>446</v>
      </c>
      <c r="C126" s="134" t="s">
        <v>447</v>
      </c>
      <c r="D126" s="127" t="s">
        <v>157</v>
      </c>
      <c r="E126" s="127"/>
      <c r="F126" s="127"/>
      <c r="G126" s="134" t="s">
        <v>417</v>
      </c>
      <c r="H126" s="147" t="s">
        <v>174</v>
      </c>
      <c r="I126" s="134" t="s">
        <v>165</v>
      </c>
      <c r="J126" s="134" t="s">
        <v>157</v>
      </c>
      <c r="K126" s="135">
        <v>16.4945</v>
      </c>
      <c r="L126" s="135">
        <f>Table1368[[#This Row],[Prix total Achat]]-Table1368[[#This Row],[Prix article]]</f>
        <v>21.455882352941178</v>
      </c>
      <c r="M126" s="135">
        <v>37.950382352941176</v>
      </c>
      <c r="N126" s="134">
        <v>46065</v>
      </c>
      <c r="O126" s="136">
        <f>(Table1368[[#This Row],[Prix total Achat]]*2)</f>
        <v>75.90076470588235</v>
      </c>
      <c r="P126" s="136">
        <f>Table1368[[#This Row],[Prix Min voulu (x2 )]]*1.2</f>
        <v>91.08091764705883</v>
      </c>
      <c r="Q126" s="134">
        <v>46073</v>
      </c>
      <c r="R126" s="134">
        <v>46073</v>
      </c>
      <c r="S126" s="135">
        <v>80</v>
      </c>
      <c r="T126" s="134" t="s">
        <v>160</v>
      </c>
      <c r="U126" s="134" t="s">
        <v>157</v>
      </c>
      <c r="V126" s="137">
        <f>IF(ISBLANK(Table1368[[#This Row],[Date réception Achat]]),"",IF(ISBLANK(Table1368[[#This Row],[Date revente]]),TODAY(),Table1368[[#This Row],[Date revente]])-Table1368[[#This Row],[Date réception Achat]])</f>
        <v>8</v>
      </c>
      <c r="W12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6" s="135">
        <f>IF(Table1368[[#This Row],[Prix de revente]]="","",Table1368[[#This Row],[Prix de revente]]-Table1368[[#This Row],[Prix total Achat]])</f>
        <v>42.049617647058824</v>
      </c>
      <c r="Y126" s="138">
        <f>IF(Table1368[[#This Row],[Prix de revente]]="","",(Table1368[[#This Row],[Prix de revente]]/Table1368[[#This Row],[Prix total Achat]]))</f>
        <v>2.108015652016216</v>
      </c>
      <c r="Z126" s="139">
        <f>IF(ISBLANK(Table1368[[#This Row],[Date réception Achat]]),"",IF(ISBLANK(Table1368[[#This Row],[Date réception Achat]]),TODAY(),Table1368[[#This Row],[Date réception Achat]])-Table1368[[#This Row],[Date achat]])</f>
        <v>17</v>
      </c>
      <c r="AA126" s="139">
        <f>IF(ISBLANK(Table1368[[#This Row],[Date relisting]]),"",IF(ISBLANK(Table1368[[#This Row],[Date relisting]]),TODAY(),Table1368[[#This Row],[Date relisting]])-Table1368[[#This Row],[Date réception Achat]])</f>
        <v>8</v>
      </c>
      <c r="AB126" s="139">
        <f>IF(ISBLANK(Table1368[[#This Row],[Date revente]]),"",IF(ISBLANK(Table1368[[#This Row],[Date revente]]),TODAY(),Table1368[[#This Row],[Date revente]])-Table1368[[#This Row],[Date relisting]])</f>
        <v>0</v>
      </c>
      <c r="AC126" s="139">
        <f>IF(ISBLANK(Table1368[[#This Row],[Date revente]]),"",IF(ISBLANK(Table1368[[#This Row],[Date revente]]),TODAY(),Table1368[[#This Row],[Date revente]])-Table1368[[#This Row],[Date réception Achat]])</f>
        <v>8</v>
      </c>
      <c r="AD126" s="139">
        <f>IF(ISBLANK(Table1368[[#This Row],[Date revente]]),"",IF(ISBLANK(Table1368[[#This Row],[Date revente]]),TODAY(),Table1368[[#This Row],[Date revente]])-Table1368[[#This Row],[Date achat]])</f>
        <v>25</v>
      </c>
    </row>
    <row r="127" spans="1:30" x14ac:dyDescent="0.25">
      <c r="A127" s="134">
        <v>46049</v>
      </c>
      <c r="B127" s="146" t="s">
        <v>448</v>
      </c>
      <c r="C127" s="134" t="s">
        <v>449</v>
      </c>
      <c r="D127" s="127" t="s">
        <v>157</v>
      </c>
      <c r="E127" s="127"/>
      <c r="F127" s="127"/>
      <c r="G127" s="134" t="s">
        <v>417</v>
      </c>
      <c r="H127" s="147" t="s">
        <v>194</v>
      </c>
      <c r="I127" s="134" t="s">
        <v>165</v>
      </c>
      <c r="J127" s="134" t="s">
        <v>157</v>
      </c>
      <c r="K127" s="135">
        <v>33</v>
      </c>
      <c r="L127" s="135">
        <f>Table1368[[#This Row],[Prix total Achat]]-Table1368[[#This Row],[Prix article]]</f>
        <v>21.455882352941174</v>
      </c>
      <c r="M127" s="135">
        <v>54.455882352941174</v>
      </c>
      <c r="N127" s="134">
        <v>46065</v>
      </c>
      <c r="O127" s="136">
        <f>(Table1368[[#This Row],[Prix total Achat]]*2)</f>
        <v>108.91176470588235</v>
      </c>
      <c r="P127" s="136">
        <f>Table1368[[#This Row],[Prix Min voulu (x2 )]]*1.2</f>
        <v>130.69411764705882</v>
      </c>
      <c r="Q127" s="134">
        <v>46073</v>
      </c>
      <c r="R127" s="134">
        <v>46239</v>
      </c>
      <c r="S127" s="135">
        <v>66.53</v>
      </c>
      <c r="T127" s="134" t="s">
        <v>160</v>
      </c>
      <c r="U127" s="134" t="s">
        <v>261</v>
      </c>
      <c r="V127" s="137">
        <f>IF(ISBLANK(Table1368[[#This Row],[Date réception Achat]]),"",IF(ISBLANK(Table1368[[#This Row],[Date revente]]),TODAY(),Table1368[[#This Row],[Date revente]])-Table1368[[#This Row],[Date réception Achat]])</f>
        <v>174</v>
      </c>
      <c r="W12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7" s="135">
        <f>IF(Table1368[[#This Row],[Prix de revente]]="","",Table1368[[#This Row],[Prix de revente]]-Table1368[[#This Row],[Prix total Achat]])</f>
        <v>12.074117647058827</v>
      </c>
      <c r="Y127" s="138">
        <f>IF(Table1368[[#This Row],[Prix de revente]]="","",(Table1368[[#This Row],[Prix de revente]]/Table1368[[#This Row],[Prix total Achat]]))</f>
        <v>1.2217229273561978</v>
      </c>
      <c r="Z127" s="139">
        <f>IF(ISBLANK(Table1368[[#This Row],[Date réception Achat]]),"",IF(ISBLANK(Table1368[[#This Row],[Date réception Achat]]),TODAY(),Table1368[[#This Row],[Date réception Achat]])-Table1368[[#This Row],[Date achat]])</f>
        <v>16</v>
      </c>
      <c r="AA127" s="139">
        <f>IF(ISBLANK(Table1368[[#This Row],[Date relisting]]),"",IF(ISBLANK(Table1368[[#This Row],[Date relisting]]),TODAY(),Table1368[[#This Row],[Date relisting]])-Table1368[[#This Row],[Date réception Achat]])</f>
        <v>8</v>
      </c>
      <c r="AB127" s="139">
        <f>IF(ISBLANK(Table1368[[#This Row],[Date revente]]),"",IF(ISBLANK(Table1368[[#This Row],[Date revente]]),TODAY(),Table1368[[#This Row],[Date revente]])-Table1368[[#This Row],[Date relisting]])</f>
        <v>166</v>
      </c>
      <c r="AC127" s="139">
        <f>IF(ISBLANK(Table1368[[#This Row],[Date revente]]),"",IF(ISBLANK(Table1368[[#This Row],[Date revente]]),TODAY(),Table1368[[#This Row],[Date revente]])-Table1368[[#This Row],[Date réception Achat]])</f>
        <v>174</v>
      </c>
      <c r="AD127" s="139">
        <f>IF(ISBLANK(Table1368[[#This Row],[Date revente]]),"",IF(ISBLANK(Table1368[[#This Row],[Date revente]]),TODAY(),Table1368[[#This Row],[Date revente]])-Table1368[[#This Row],[Date achat]])</f>
        <v>190</v>
      </c>
    </row>
    <row r="128" spans="1:30" x14ac:dyDescent="0.25">
      <c r="A128" s="134">
        <v>46051</v>
      </c>
      <c r="B128" s="141" t="s">
        <v>309</v>
      </c>
      <c r="C128" s="134" t="s">
        <v>450</v>
      </c>
      <c r="D128" s="127" t="s">
        <v>157</v>
      </c>
      <c r="E128" s="127"/>
      <c r="F128" s="127"/>
      <c r="G128" s="134" t="s">
        <v>228</v>
      </c>
      <c r="H128" s="127" t="s">
        <v>256</v>
      </c>
      <c r="I128" s="134" t="s">
        <v>160</v>
      </c>
      <c r="J128" s="134" t="s">
        <v>157</v>
      </c>
      <c r="K128" s="135">
        <v>15</v>
      </c>
      <c r="L128" s="135">
        <f>Table1368[[#This Row],[Prix total Achat]]-Table1368[[#This Row],[Prix article]]</f>
        <v>4.440000000000001</v>
      </c>
      <c r="M128" s="135">
        <v>19.44</v>
      </c>
      <c r="N128" s="134">
        <v>46059</v>
      </c>
      <c r="O128" s="136">
        <f>(Table1368[[#This Row],[Prix total Achat]]*2)</f>
        <v>38.88</v>
      </c>
      <c r="P128" s="136">
        <f>Table1368[[#This Row],[Prix Min voulu (x2 )]]*1.2</f>
        <v>46.656</v>
      </c>
      <c r="Q128" s="134">
        <v>46065</v>
      </c>
      <c r="R128" s="134">
        <v>46069</v>
      </c>
      <c r="S128" s="135">
        <v>55</v>
      </c>
      <c r="T128" s="134" t="s">
        <v>160</v>
      </c>
      <c r="U128" s="134" t="s">
        <v>451</v>
      </c>
      <c r="V128" s="137">
        <f>IF(ISBLANK(Table1368[[#This Row],[Date réception Achat]]),"",IF(ISBLANK(Table1368[[#This Row],[Date revente]]),TODAY(),Table1368[[#This Row],[Date revente]])-Table1368[[#This Row],[Date réception Achat]])</f>
        <v>10</v>
      </c>
      <c r="W12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8" s="135">
        <f>IF(Table1368[[#This Row],[Prix de revente]]="","",Table1368[[#This Row],[Prix de revente]]-Table1368[[#This Row],[Prix total Achat]])</f>
        <v>35.56</v>
      </c>
      <c r="Y128" s="138">
        <f>IF(Table1368[[#This Row],[Prix de revente]]="","",(Table1368[[#This Row],[Prix de revente]]/Table1368[[#This Row],[Prix total Achat]]))</f>
        <v>2.8292181069958846</v>
      </c>
      <c r="Z128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128" s="139">
        <f>IF(ISBLANK(Table1368[[#This Row],[Date relisting]]),"",IF(ISBLANK(Table1368[[#This Row],[Date relisting]]),TODAY(),Table1368[[#This Row],[Date relisting]])-Table1368[[#This Row],[Date réception Achat]])</f>
        <v>6</v>
      </c>
      <c r="AB128" s="139">
        <f>IF(ISBLANK(Table1368[[#This Row],[Date revente]]),"",IF(ISBLANK(Table1368[[#This Row],[Date revente]]),TODAY(),Table1368[[#This Row],[Date revente]])-Table1368[[#This Row],[Date relisting]])</f>
        <v>4</v>
      </c>
      <c r="AC128" s="139">
        <f>IF(ISBLANK(Table1368[[#This Row],[Date revente]]),"",IF(ISBLANK(Table1368[[#This Row],[Date revente]]),TODAY(),Table1368[[#This Row],[Date revente]])-Table1368[[#This Row],[Date réception Achat]])</f>
        <v>10</v>
      </c>
      <c r="AD128" s="139">
        <f>IF(ISBLANK(Table1368[[#This Row],[Date revente]]),"",IF(ISBLANK(Table1368[[#This Row],[Date revente]]),TODAY(),Table1368[[#This Row],[Date revente]])-Table1368[[#This Row],[Date achat]])</f>
        <v>18</v>
      </c>
    </row>
    <row r="129" spans="1:30" x14ac:dyDescent="0.25">
      <c r="A129" s="134">
        <v>46082</v>
      </c>
      <c r="B129" s="146" t="s">
        <v>452</v>
      </c>
      <c r="C129" s="134" t="s">
        <v>453</v>
      </c>
      <c r="D129" s="127" t="s">
        <v>157</v>
      </c>
      <c r="E129" s="127"/>
      <c r="F129" s="127"/>
      <c r="G129" s="147" t="s">
        <v>454</v>
      </c>
      <c r="H129" s="147" t="s">
        <v>455</v>
      </c>
      <c r="I129" s="134" t="s">
        <v>165</v>
      </c>
      <c r="J129" s="134" t="s">
        <v>157</v>
      </c>
      <c r="K129" s="135">
        <v>34.221</v>
      </c>
      <c r="L129" s="135">
        <f>Table1368[[#This Row],[Prix total Achat]]-Table1368[[#This Row],[Prix article]]</f>
        <v>18.017521100000003</v>
      </c>
      <c r="M129" s="135">
        <v>52.2385211</v>
      </c>
      <c r="N129" s="134">
        <v>46097</v>
      </c>
      <c r="O129" s="136">
        <f>(Table1368[[#This Row],[Prix total Achat]]*2)</f>
        <v>104.4770422</v>
      </c>
      <c r="P129" s="136">
        <f>Table1368[[#This Row],[Prix Min voulu (x2 )]]*1.2</f>
        <v>125.37245064</v>
      </c>
      <c r="Q129" s="134">
        <v>46097</v>
      </c>
      <c r="R129" s="134">
        <v>46108</v>
      </c>
      <c r="S129" s="135">
        <v>110</v>
      </c>
      <c r="T129" s="134" t="s">
        <v>160</v>
      </c>
      <c r="U129" s="134" t="s">
        <v>157</v>
      </c>
      <c r="V129" s="137">
        <f>IF(ISBLANK(Table1368[[#This Row],[Date réception Achat]]),"",IF(ISBLANK(Table1368[[#This Row],[Date revente]]),TODAY(),Table1368[[#This Row],[Date revente]])-Table1368[[#This Row],[Date réception Achat]])</f>
        <v>11</v>
      </c>
      <c r="W12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29" s="135">
        <f>IF(Table1368[[#This Row],[Prix de revente]]="","",Table1368[[#This Row],[Prix de revente]]-Table1368[[#This Row],[Prix total Achat]])</f>
        <v>57.7614789</v>
      </c>
      <c r="Y129" s="138">
        <f>IF(Table1368[[#This Row],[Prix de revente]]="","",(Table1368[[#This Row],[Prix de revente]]/Table1368[[#This Row],[Prix total Achat]]))</f>
        <v>2.1057257687182114</v>
      </c>
      <c r="Z129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29" s="139">
        <f>IF(ISBLANK(Table1368[[#This Row],[Date relisting]]),"",IF(ISBLANK(Table1368[[#This Row],[Date relisting]]),TODAY(),Table1368[[#This Row],[Date relisting]])-Table1368[[#This Row],[Date réception Achat]])</f>
        <v>0</v>
      </c>
      <c r="AB129" s="139">
        <f>IF(ISBLANK(Table1368[[#This Row],[Date revente]]),"",IF(ISBLANK(Table1368[[#This Row],[Date revente]]),TODAY(),Table1368[[#This Row],[Date revente]])-Table1368[[#This Row],[Date relisting]])</f>
        <v>11</v>
      </c>
      <c r="AC129" s="139">
        <f>IF(ISBLANK(Table1368[[#This Row],[Date revente]]),"",IF(ISBLANK(Table1368[[#This Row],[Date revente]]),TODAY(),Table1368[[#This Row],[Date revente]])-Table1368[[#This Row],[Date réception Achat]])</f>
        <v>11</v>
      </c>
      <c r="AD129" s="139">
        <f>IF(ISBLANK(Table1368[[#This Row],[Date revente]]),"",IF(ISBLANK(Table1368[[#This Row],[Date revente]]),TODAY(),Table1368[[#This Row],[Date revente]])-Table1368[[#This Row],[Date achat]])</f>
        <v>26</v>
      </c>
    </row>
    <row r="130" spans="1:30" x14ac:dyDescent="0.25">
      <c r="A130" s="134">
        <v>46082</v>
      </c>
      <c r="B130" s="146" t="s">
        <v>456</v>
      </c>
      <c r="C130" s="134" t="s">
        <v>457</v>
      </c>
      <c r="D130" s="127" t="s">
        <v>157</v>
      </c>
      <c r="E130" s="127"/>
      <c r="F130" s="127"/>
      <c r="G130" s="147" t="s">
        <v>454</v>
      </c>
      <c r="H130" s="147" t="s">
        <v>458</v>
      </c>
      <c r="I130" s="134" t="s">
        <v>165</v>
      </c>
      <c r="J130" s="134" t="s">
        <v>157</v>
      </c>
      <c r="K130" s="135">
        <v>12.8315</v>
      </c>
      <c r="L130" s="135">
        <f>Table1368[[#This Row],[Prix total Achat]]-Table1368[[#This Row],[Prix article]]</f>
        <v>18.017521100000003</v>
      </c>
      <c r="M130" s="135">
        <v>30.8490211</v>
      </c>
      <c r="N130" s="134">
        <v>46097</v>
      </c>
      <c r="O130" s="136">
        <f>(Table1368[[#This Row],[Prix total Achat]]*2)</f>
        <v>61.6980422</v>
      </c>
      <c r="P130" s="136">
        <f>Table1368[[#This Row],[Prix Min voulu (x2 )]]*1.2</f>
        <v>74.03765064</v>
      </c>
      <c r="Q130" s="134">
        <v>46097</v>
      </c>
      <c r="R130" s="134">
        <v>46149</v>
      </c>
      <c r="S130" s="135">
        <v>45</v>
      </c>
      <c r="T130" s="134" t="s">
        <v>160</v>
      </c>
      <c r="U130" s="134" t="s">
        <v>157</v>
      </c>
      <c r="V130" s="137">
        <f>IF(ISBLANK(Table1368[[#This Row],[Date réception Achat]]),"",IF(ISBLANK(Table1368[[#This Row],[Date revente]]),TODAY(),Table1368[[#This Row],[Date revente]])-Table1368[[#This Row],[Date réception Achat]])</f>
        <v>52</v>
      </c>
      <c r="W13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0" s="135">
        <f>IF(Table1368[[#This Row],[Prix de revente]]="","",Table1368[[#This Row],[Prix de revente]]-Table1368[[#This Row],[Prix total Achat]])</f>
        <v>14.150978899999998</v>
      </c>
      <c r="Y130" s="138">
        <f>IF(Table1368[[#This Row],[Prix de revente]]="","",(Table1368[[#This Row],[Prix de revente]]/Table1368[[#This Row],[Prix total Achat]]))</f>
        <v>1.4587172751488051</v>
      </c>
      <c r="Z130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30" s="139">
        <f>IF(ISBLANK(Table1368[[#This Row],[Date relisting]]),"",IF(ISBLANK(Table1368[[#This Row],[Date relisting]]),TODAY(),Table1368[[#This Row],[Date relisting]])-Table1368[[#This Row],[Date réception Achat]])</f>
        <v>0</v>
      </c>
      <c r="AB130" s="139">
        <f>IF(ISBLANK(Table1368[[#This Row],[Date revente]]),"",IF(ISBLANK(Table1368[[#This Row],[Date revente]]),TODAY(),Table1368[[#This Row],[Date revente]])-Table1368[[#This Row],[Date relisting]])</f>
        <v>52</v>
      </c>
      <c r="AC130" s="139">
        <f>IF(ISBLANK(Table1368[[#This Row],[Date revente]]),"",IF(ISBLANK(Table1368[[#This Row],[Date revente]]),TODAY(),Table1368[[#This Row],[Date revente]])-Table1368[[#This Row],[Date réception Achat]])</f>
        <v>52</v>
      </c>
      <c r="AD130" s="139">
        <f>IF(ISBLANK(Table1368[[#This Row],[Date revente]]),"",IF(ISBLANK(Table1368[[#This Row],[Date revente]]),TODAY(),Table1368[[#This Row],[Date revente]])-Table1368[[#This Row],[Date achat]])</f>
        <v>67</v>
      </c>
    </row>
    <row r="131" spans="1:30" x14ac:dyDescent="0.25">
      <c r="A131" s="134">
        <v>46082</v>
      </c>
      <c r="B131" s="146" t="s">
        <v>459</v>
      </c>
      <c r="C131" s="134" t="s">
        <v>460</v>
      </c>
      <c r="D131" s="127" t="s">
        <v>157</v>
      </c>
      <c r="E131" s="127"/>
      <c r="F131" s="127"/>
      <c r="G131" s="149" t="s">
        <v>163</v>
      </c>
      <c r="H131" s="147" t="s">
        <v>178</v>
      </c>
      <c r="I131" s="134" t="s">
        <v>165</v>
      </c>
      <c r="J131" s="134" t="s">
        <v>157</v>
      </c>
      <c r="K131" s="135">
        <v>13.2</v>
      </c>
      <c r="L131" s="135">
        <f>Table1368[[#This Row],[Prix total Achat]]-Table1368[[#This Row],[Prix article]]</f>
        <v>18.0175211</v>
      </c>
      <c r="M131" s="135">
        <v>31.2175211</v>
      </c>
      <c r="N131" s="134">
        <v>46097</v>
      </c>
      <c r="O131" s="136">
        <f>(Table1368[[#This Row],[Prix total Achat]]*2)</f>
        <v>62.4350422</v>
      </c>
      <c r="P131" s="136">
        <f>Table1368[[#This Row],[Prix Min voulu (x2 )]]*1.2</f>
        <v>74.92205064</v>
      </c>
      <c r="Q131" s="134">
        <v>46098</v>
      </c>
      <c r="R131" s="134">
        <v>46099</v>
      </c>
      <c r="S131" s="135">
        <v>80</v>
      </c>
      <c r="T131" s="134" t="s">
        <v>160</v>
      </c>
      <c r="U131" s="134" t="s">
        <v>157</v>
      </c>
      <c r="V131" s="137">
        <f>IF(ISBLANK(Table1368[[#This Row],[Date réception Achat]]),"",IF(ISBLANK(Table1368[[#This Row],[Date revente]]),TODAY(),Table1368[[#This Row],[Date revente]])-Table1368[[#This Row],[Date réception Achat]])</f>
        <v>2</v>
      </c>
      <c r="W13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1" s="135">
        <f>IF(Table1368[[#This Row],[Prix de revente]]="","",Table1368[[#This Row],[Prix de revente]]-Table1368[[#This Row],[Prix total Achat]])</f>
        <v>48.7824789</v>
      </c>
      <c r="Y131" s="138">
        <f>IF(Table1368[[#This Row],[Prix de revente]]="","",(Table1368[[#This Row],[Prix de revente]]/Table1368[[#This Row],[Prix total Achat]]))</f>
        <v>2.562663439666899</v>
      </c>
      <c r="Z131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31" s="139">
        <f>IF(ISBLANK(Table1368[[#This Row],[Date relisting]]),"",IF(ISBLANK(Table1368[[#This Row],[Date relisting]]),TODAY(),Table1368[[#This Row],[Date relisting]])-Table1368[[#This Row],[Date réception Achat]])</f>
        <v>1</v>
      </c>
      <c r="AB131" s="139">
        <f>IF(ISBLANK(Table1368[[#This Row],[Date revente]]),"",IF(ISBLANK(Table1368[[#This Row],[Date revente]]),TODAY(),Table1368[[#This Row],[Date revente]])-Table1368[[#This Row],[Date relisting]])</f>
        <v>1</v>
      </c>
      <c r="AC131" s="139">
        <f>IF(ISBLANK(Table1368[[#This Row],[Date revente]]),"",IF(ISBLANK(Table1368[[#This Row],[Date revente]]),TODAY(),Table1368[[#This Row],[Date revente]])-Table1368[[#This Row],[Date réception Achat]])</f>
        <v>2</v>
      </c>
      <c r="AD131" s="139">
        <f>IF(ISBLANK(Table1368[[#This Row],[Date revente]]),"",IF(ISBLANK(Table1368[[#This Row],[Date revente]]),TODAY(),Table1368[[#This Row],[Date revente]])-Table1368[[#This Row],[Date achat]])</f>
        <v>17</v>
      </c>
    </row>
    <row r="132" spans="1:30" x14ac:dyDescent="0.25">
      <c r="A132" s="134">
        <v>46082</v>
      </c>
      <c r="B132" s="146" t="s">
        <v>461</v>
      </c>
      <c r="C132" s="134" t="s">
        <v>462</v>
      </c>
      <c r="D132" s="127" t="s">
        <v>157</v>
      </c>
      <c r="E132" s="127"/>
      <c r="F132" s="127"/>
      <c r="G132" s="147" t="s">
        <v>454</v>
      </c>
      <c r="H132" s="147" t="s">
        <v>463</v>
      </c>
      <c r="I132" s="134" t="s">
        <v>165</v>
      </c>
      <c r="J132" s="134" t="s">
        <v>157</v>
      </c>
      <c r="K132" s="135">
        <v>7.1499999999999995</v>
      </c>
      <c r="L132" s="135">
        <f>Table1368[[#This Row],[Prix total Achat]]-Table1368[[#This Row],[Prix article]]</f>
        <v>18.0175211</v>
      </c>
      <c r="M132" s="135">
        <v>25.1675211</v>
      </c>
      <c r="N132" s="134">
        <v>46097</v>
      </c>
      <c r="O132" s="136">
        <f>(Table1368[[#This Row],[Prix total Achat]]*2)</f>
        <v>50.3350422</v>
      </c>
      <c r="P132" s="136">
        <f>Table1368[[#This Row],[Prix Min voulu (x2 )]]*1.2</f>
        <v>60.40205063999999</v>
      </c>
      <c r="Q132" s="134">
        <v>46097</v>
      </c>
      <c r="R132" s="134">
        <v>46101</v>
      </c>
      <c r="S132" s="135">
        <v>124</v>
      </c>
      <c r="T132" s="134" t="s">
        <v>160</v>
      </c>
      <c r="U132" s="134" t="s">
        <v>157</v>
      </c>
      <c r="V132" s="137">
        <f>IF(ISBLANK(Table1368[[#This Row],[Date réception Achat]]),"",IF(ISBLANK(Table1368[[#This Row],[Date revente]]),TODAY(),Table1368[[#This Row],[Date revente]])-Table1368[[#This Row],[Date réception Achat]])</f>
        <v>4</v>
      </c>
      <c r="W13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2" s="135">
        <f>IF(Table1368[[#This Row],[Prix de revente]]="","",Table1368[[#This Row],[Prix de revente]]-Table1368[[#This Row],[Prix total Achat]])</f>
        <v>98.8324789</v>
      </c>
      <c r="Y132" s="138">
        <f>IF(Table1368[[#This Row],[Prix de revente]]="","",(Table1368[[#This Row],[Prix de revente]]/Table1368[[#This Row],[Prix total Achat]]))</f>
        <v>4.926985041844269</v>
      </c>
      <c r="Z132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32" s="139">
        <f>IF(ISBLANK(Table1368[[#This Row],[Date relisting]]),"",IF(ISBLANK(Table1368[[#This Row],[Date relisting]]),TODAY(),Table1368[[#This Row],[Date relisting]])-Table1368[[#This Row],[Date réception Achat]])</f>
        <v>0</v>
      </c>
      <c r="AB132" s="139">
        <f>IF(ISBLANK(Table1368[[#This Row],[Date revente]]),"",IF(ISBLANK(Table1368[[#This Row],[Date revente]]),TODAY(),Table1368[[#This Row],[Date revente]])-Table1368[[#This Row],[Date relisting]])</f>
        <v>4</v>
      </c>
      <c r="AC132" s="139">
        <f>IF(ISBLANK(Table1368[[#This Row],[Date revente]]),"",IF(ISBLANK(Table1368[[#This Row],[Date revente]]),TODAY(),Table1368[[#This Row],[Date revente]])-Table1368[[#This Row],[Date réception Achat]])</f>
        <v>4</v>
      </c>
      <c r="AD132" s="139">
        <f>IF(ISBLANK(Table1368[[#This Row],[Date revente]]),"",IF(ISBLANK(Table1368[[#This Row],[Date revente]]),TODAY(),Table1368[[#This Row],[Date revente]])-Table1368[[#This Row],[Date achat]])</f>
        <v>19</v>
      </c>
    </row>
    <row r="133" spans="1:30" x14ac:dyDescent="0.25">
      <c r="A133" s="134">
        <v>46082</v>
      </c>
      <c r="B133" s="146" t="s">
        <v>464</v>
      </c>
      <c r="C133" s="134" t="s">
        <v>465</v>
      </c>
      <c r="D133" s="127" t="s">
        <v>157</v>
      </c>
      <c r="E133" s="127"/>
      <c r="F133" s="127"/>
      <c r="G133" s="149" t="s">
        <v>163</v>
      </c>
      <c r="H133" s="147" t="s">
        <v>178</v>
      </c>
      <c r="I133" s="134" t="s">
        <v>165</v>
      </c>
      <c r="J133" s="134" t="s">
        <v>157</v>
      </c>
      <c r="K133" s="135">
        <v>20.9</v>
      </c>
      <c r="L133" s="135">
        <f>Table1368[[#This Row],[Prix total Achat]]-Table1368[[#This Row],[Prix article]]</f>
        <v>18.017521100000003</v>
      </c>
      <c r="M133" s="135">
        <v>38.9175211</v>
      </c>
      <c r="N133" s="134">
        <v>46097</v>
      </c>
      <c r="O133" s="136">
        <f>(Table1368[[#This Row],[Prix total Achat]]*2)</f>
        <v>77.8350422</v>
      </c>
      <c r="P133" s="136">
        <f>Table1368[[#This Row],[Prix Min voulu (x2 )]]*1.2</f>
        <v>93.40205064</v>
      </c>
      <c r="Q133" s="134">
        <v>46098</v>
      </c>
      <c r="R133" s="134">
        <v>46140</v>
      </c>
      <c r="S133" s="135">
        <v>71.25</v>
      </c>
      <c r="T133" s="134" t="s">
        <v>160</v>
      </c>
      <c r="U133" s="134" t="s">
        <v>157</v>
      </c>
      <c r="V133" s="137">
        <f>IF(ISBLANK(Table1368[[#This Row],[Date réception Achat]]),"",IF(ISBLANK(Table1368[[#This Row],[Date revente]]),TODAY(),Table1368[[#This Row],[Date revente]])-Table1368[[#This Row],[Date réception Achat]])</f>
        <v>43</v>
      </c>
      <c r="W13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3" s="135">
        <f>IF(Table1368[[#This Row],[Prix de revente]]="","",Table1368[[#This Row],[Prix de revente]]-Table1368[[#This Row],[Prix total Achat]])</f>
        <v>32.3324789</v>
      </c>
      <c r="Y133" s="138">
        <f>IF(Table1368[[#This Row],[Prix de revente]]="","",(Table1368[[#This Row],[Prix de revente]]/Table1368[[#This Row],[Prix total Achat]]))</f>
        <v>1.8307949218276391</v>
      </c>
      <c r="Z133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33" s="139">
        <f>IF(ISBLANK(Table1368[[#This Row],[Date relisting]]),"",IF(ISBLANK(Table1368[[#This Row],[Date relisting]]),TODAY(),Table1368[[#This Row],[Date relisting]])-Table1368[[#This Row],[Date réception Achat]])</f>
        <v>1</v>
      </c>
      <c r="AB133" s="139">
        <f>IF(ISBLANK(Table1368[[#This Row],[Date revente]]),"",IF(ISBLANK(Table1368[[#This Row],[Date revente]]),TODAY(),Table1368[[#This Row],[Date revente]])-Table1368[[#This Row],[Date relisting]])</f>
        <v>42</v>
      </c>
      <c r="AC133" s="139">
        <f>IF(ISBLANK(Table1368[[#This Row],[Date revente]]),"",IF(ISBLANK(Table1368[[#This Row],[Date revente]]),TODAY(),Table1368[[#This Row],[Date revente]])-Table1368[[#This Row],[Date réception Achat]])</f>
        <v>43</v>
      </c>
      <c r="AD133" s="139">
        <f>IF(ISBLANK(Table1368[[#This Row],[Date revente]]),"",IF(ISBLANK(Table1368[[#This Row],[Date revente]]),TODAY(),Table1368[[#This Row],[Date revente]])-Table1368[[#This Row],[Date achat]])</f>
        <v>58</v>
      </c>
    </row>
    <row r="134" spans="1:30" x14ac:dyDescent="0.25">
      <c r="A134" s="134">
        <v>46082</v>
      </c>
      <c r="B134" s="146" t="s">
        <v>466</v>
      </c>
      <c r="C134" s="134" t="s">
        <v>467</v>
      </c>
      <c r="D134" s="127" t="s">
        <v>157</v>
      </c>
      <c r="E134" s="127"/>
      <c r="F134" s="127"/>
      <c r="G134" s="149" t="s">
        <v>163</v>
      </c>
      <c r="H134" s="149" t="s">
        <v>174</v>
      </c>
      <c r="I134" s="134" t="s">
        <v>165</v>
      </c>
      <c r="J134" s="134" t="s">
        <v>261</v>
      </c>
      <c r="K134" s="135">
        <v>13.57</v>
      </c>
      <c r="L134" s="135">
        <f>Table1368[[#This Row],[Prix total Achat]]-Table1368[[#This Row],[Prix article]]</f>
        <v>6</v>
      </c>
      <c r="M134" s="135">
        <v>19.57</v>
      </c>
      <c r="N134" s="134">
        <v>46097</v>
      </c>
      <c r="O134" s="136">
        <f>(Table1368[[#This Row],[Prix total Achat]]*2)</f>
        <v>39.14</v>
      </c>
      <c r="P134" s="136">
        <f>Table1368[[#This Row],[Prix Min voulu (x2 )]]*1.2</f>
        <v>46.967999999999996</v>
      </c>
      <c r="Q134" s="134">
        <v>46098</v>
      </c>
      <c r="R134" s="134">
        <v>46116</v>
      </c>
      <c r="S134" s="135">
        <v>45</v>
      </c>
      <c r="T134" s="134" t="s">
        <v>160</v>
      </c>
      <c r="U134" s="134" t="s">
        <v>261</v>
      </c>
      <c r="V134" s="137">
        <f>IF(ISBLANK(Table1368[[#This Row],[Date réception Achat]]),"",IF(ISBLANK(Table1368[[#This Row],[Date revente]]),TODAY(),Table1368[[#This Row],[Date revente]])-Table1368[[#This Row],[Date réception Achat]])</f>
        <v>19</v>
      </c>
      <c r="W13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4" s="135">
        <f>IF(Table1368[[#This Row],[Prix de revente]]="","",Table1368[[#This Row],[Prix de revente]]-Table1368[[#This Row],[Prix total Achat]])</f>
        <v>25.43</v>
      </c>
      <c r="Y134" s="138">
        <f>IF(Table1368[[#This Row],[Prix de revente]]="","",(Table1368[[#This Row],[Prix de revente]]/Table1368[[#This Row],[Prix total Achat]]))</f>
        <v>2.29943791517629</v>
      </c>
      <c r="Z134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34" s="139">
        <f>IF(ISBLANK(Table1368[[#This Row],[Date relisting]]),"",IF(ISBLANK(Table1368[[#This Row],[Date relisting]]),TODAY(),Table1368[[#This Row],[Date relisting]])-Table1368[[#This Row],[Date réception Achat]])</f>
        <v>1</v>
      </c>
      <c r="AB134" s="139">
        <f>IF(ISBLANK(Table1368[[#This Row],[Date revente]]),"",IF(ISBLANK(Table1368[[#This Row],[Date revente]]),TODAY(),Table1368[[#This Row],[Date revente]])-Table1368[[#This Row],[Date relisting]])</f>
        <v>18</v>
      </c>
      <c r="AC134" s="139">
        <f>IF(ISBLANK(Table1368[[#This Row],[Date revente]]),"",IF(ISBLANK(Table1368[[#This Row],[Date revente]]),TODAY(),Table1368[[#This Row],[Date revente]])-Table1368[[#This Row],[Date réception Achat]])</f>
        <v>19</v>
      </c>
      <c r="AD134" s="139">
        <f>IF(ISBLANK(Table1368[[#This Row],[Date revente]]),"",IF(ISBLANK(Table1368[[#This Row],[Date revente]]),TODAY(),Table1368[[#This Row],[Date revente]])-Table1368[[#This Row],[Date achat]])</f>
        <v>34</v>
      </c>
    </row>
    <row r="135" spans="1:30" x14ac:dyDescent="0.25">
      <c r="A135" s="134">
        <v>46082</v>
      </c>
      <c r="B135" s="146" t="s">
        <v>466</v>
      </c>
      <c r="C135" s="134" t="s">
        <v>468</v>
      </c>
      <c r="D135" s="127" t="s">
        <v>157</v>
      </c>
      <c r="E135" s="127"/>
      <c r="F135" s="127"/>
      <c r="G135" s="149" t="s">
        <v>163</v>
      </c>
      <c r="H135" s="149" t="s">
        <v>174</v>
      </c>
      <c r="I135" s="134" t="s">
        <v>165</v>
      </c>
      <c r="J135" s="134" t="s">
        <v>261</v>
      </c>
      <c r="K135" s="135">
        <v>13.57</v>
      </c>
      <c r="L135" s="135">
        <f>Table1368[[#This Row],[Prix total Achat]]-Table1368[[#This Row],[Prix article]]</f>
        <v>6</v>
      </c>
      <c r="M135" s="135">
        <v>19.57</v>
      </c>
      <c r="N135" s="134">
        <v>46097</v>
      </c>
      <c r="O135" s="136">
        <f>(Table1368[[#This Row],[Prix total Achat]]*2)</f>
        <v>39.14</v>
      </c>
      <c r="P135" s="136">
        <f>Table1368[[#This Row],[Prix Min voulu (x2 )]]*1.2</f>
        <v>46.967999999999996</v>
      </c>
      <c r="Q135" s="134">
        <v>46098</v>
      </c>
      <c r="R135" s="134">
        <v>46116</v>
      </c>
      <c r="S135" s="135">
        <v>45</v>
      </c>
      <c r="T135" s="134" t="s">
        <v>160</v>
      </c>
      <c r="U135" s="134" t="s">
        <v>261</v>
      </c>
      <c r="V135" s="137">
        <f>IF(ISBLANK(Table1368[[#This Row],[Date réception Achat]]),"",IF(ISBLANK(Table1368[[#This Row],[Date revente]]),TODAY(),Table1368[[#This Row],[Date revente]])-Table1368[[#This Row],[Date réception Achat]])</f>
        <v>19</v>
      </c>
      <c r="W13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5" s="135">
        <f>IF(Table1368[[#This Row],[Prix de revente]]="","",Table1368[[#This Row],[Prix de revente]]-Table1368[[#This Row],[Prix total Achat]])</f>
        <v>25.43</v>
      </c>
      <c r="Y135" s="138">
        <f>IF(Table1368[[#This Row],[Prix de revente]]="","",(Table1368[[#This Row],[Prix de revente]]/Table1368[[#This Row],[Prix total Achat]]))</f>
        <v>2.29943791517629</v>
      </c>
      <c r="Z135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35" s="139">
        <f>IF(ISBLANK(Table1368[[#This Row],[Date relisting]]),"",IF(ISBLANK(Table1368[[#This Row],[Date relisting]]),TODAY(),Table1368[[#This Row],[Date relisting]])-Table1368[[#This Row],[Date réception Achat]])</f>
        <v>1</v>
      </c>
      <c r="AB135" s="139">
        <f>IF(ISBLANK(Table1368[[#This Row],[Date revente]]),"",IF(ISBLANK(Table1368[[#This Row],[Date revente]]),TODAY(),Table1368[[#This Row],[Date revente]])-Table1368[[#This Row],[Date relisting]])</f>
        <v>18</v>
      </c>
      <c r="AC135" s="139">
        <f>IF(ISBLANK(Table1368[[#This Row],[Date revente]]),"",IF(ISBLANK(Table1368[[#This Row],[Date revente]]),TODAY(),Table1368[[#This Row],[Date revente]])-Table1368[[#This Row],[Date réception Achat]])</f>
        <v>19</v>
      </c>
      <c r="AD135" s="139">
        <f>IF(ISBLANK(Table1368[[#This Row],[Date revente]]),"",IF(ISBLANK(Table1368[[#This Row],[Date revente]]),TODAY(),Table1368[[#This Row],[Date revente]])-Table1368[[#This Row],[Date achat]])</f>
        <v>34</v>
      </c>
    </row>
    <row r="136" spans="1:30" x14ac:dyDescent="0.25">
      <c r="A136" s="134">
        <v>46082</v>
      </c>
      <c r="B136" s="146" t="s">
        <v>466</v>
      </c>
      <c r="C136" s="134" t="s">
        <v>469</v>
      </c>
      <c r="D136" s="127" t="s">
        <v>157</v>
      </c>
      <c r="E136" s="127"/>
      <c r="F136" s="127"/>
      <c r="G136" s="149" t="s">
        <v>163</v>
      </c>
      <c r="H136" s="149" t="s">
        <v>174</v>
      </c>
      <c r="I136" s="134" t="s">
        <v>165</v>
      </c>
      <c r="J136" s="134" t="s">
        <v>261</v>
      </c>
      <c r="K136" s="135">
        <v>13.57</v>
      </c>
      <c r="L136" s="135">
        <f>Table1368[[#This Row],[Prix total Achat]]-Table1368[[#This Row],[Prix article]]</f>
        <v>6</v>
      </c>
      <c r="M136" s="135">
        <v>19.57</v>
      </c>
      <c r="N136" s="134">
        <v>46097</v>
      </c>
      <c r="O136" s="136">
        <f>(Table1368[[#This Row],[Prix total Achat]]*2)</f>
        <v>39.14</v>
      </c>
      <c r="P136" s="136">
        <f>Table1368[[#This Row],[Prix Min voulu (x2 )]]*1.2</f>
        <v>46.967999999999996</v>
      </c>
      <c r="Q136" s="134">
        <v>46098</v>
      </c>
      <c r="R136" s="134">
        <v>46116</v>
      </c>
      <c r="S136" s="135">
        <v>45</v>
      </c>
      <c r="T136" s="134" t="s">
        <v>160</v>
      </c>
      <c r="U136" s="134" t="s">
        <v>261</v>
      </c>
      <c r="V136" s="137">
        <f>IF(ISBLANK(Table1368[[#This Row],[Date réception Achat]]),"",IF(ISBLANK(Table1368[[#This Row],[Date revente]]),TODAY(),Table1368[[#This Row],[Date revente]])-Table1368[[#This Row],[Date réception Achat]])</f>
        <v>19</v>
      </c>
      <c r="W13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6" s="135">
        <f>IF(Table1368[[#This Row],[Prix de revente]]="","",Table1368[[#This Row],[Prix de revente]]-Table1368[[#This Row],[Prix total Achat]])</f>
        <v>25.43</v>
      </c>
      <c r="Y136" s="138">
        <f>IF(Table1368[[#This Row],[Prix de revente]]="","",(Table1368[[#This Row],[Prix de revente]]/Table1368[[#This Row],[Prix total Achat]]))</f>
        <v>2.29943791517629</v>
      </c>
      <c r="Z136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36" s="139">
        <f>IF(ISBLANK(Table1368[[#This Row],[Date relisting]]),"",IF(ISBLANK(Table1368[[#This Row],[Date relisting]]),TODAY(),Table1368[[#This Row],[Date relisting]])-Table1368[[#This Row],[Date réception Achat]])</f>
        <v>1</v>
      </c>
      <c r="AB136" s="139">
        <f>IF(ISBLANK(Table1368[[#This Row],[Date revente]]),"",IF(ISBLANK(Table1368[[#This Row],[Date revente]]),TODAY(),Table1368[[#This Row],[Date revente]])-Table1368[[#This Row],[Date relisting]])</f>
        <v>18</v>
      </c>
      <c r="AC136" s="139">
        <f>IF(ISBLANK(Table1368[[#This Row],[Date revente]]),"",IF(ISBLANK(Table1368[[#This Row],[Date revente]]),TODAY(),Table1368[[#This Row],[Date revente]])-Table1368[[#This Row],[Date réception Achat]])</f>
        <v>19</v>
      </c>
      <c r="AD136" s="139">
        <f>IF(ISBLANK(Table1368[[#This Row],[Date revente]]),"",IF(ISBLANK(Table1368[[#This Row],[Date revente]]),TODAY(),Table1368[[#This Row],[Date revente]])-Table1368[[#This Row],[Date achat]])</f>
        <v>34</v>
      </c>
    </row>
    <row r="137" ht="15" customHeight="1" spans="1:30" x14ac:dyDescent="0.25">
      <c r="A137" s="134">
        <v>46082</v>
      </c>
      <c r="B137" s="151" t="s">
        <v>470</v>
      </c>
      <c r="C137" s="134" t="s">
        <v>471</v>
      </c>
      <c r="D137" s="127" t="s">
        <v>157</v>
      </c>
      <c r="E137" s="127"/>
      <c r="F137" s="127"/>
      <c r="G137" s="149" t="s">
        <v>163</v>
      </c>
      <c r="H137" s="147" t="s">
        <v>178</v>
      </c>
      <c r="I137" s="134" t="s">
        <v>165</v>
      </c>
      <c r="J137" s="134" t="s">
        <v>157</v>
      </c>
      <c r="K137" s="135">
        <v>19.25</v>
      </c>
      <c r="L137" s="135">
        <f>Table1368[[#This Row],[Prix total Achat]]-Table1368[[#This Row],[Prix article]]</f>
        <v>18.017521099999996</v>
      </c>
      <c r="M137" s="135">
        <v>37.267521099999996</v>
      </c>
      <c r="N137" s="134">
        <v>46097</v>
      </c>
      <c r="O137" s="136">
        <f>(Table1368[[#This Row],[Prix total Achat]]*2)</f>
        <v>74.53504219999999</v>
      </c>
      <c r="P137" s="136">
        <f>Table1368[[#This Row],[Prix Min voulu (x2 )]]*1.2</f>
        <v>89.44205063999999</v>
      </c>
      <c r="Q137" s="134">
        <v>46097</v>
      </c>
      <c r="R137" s="134">
        <v>46199</v>
      </c>
      <c r="S137" s="135">
        <v>55</v>
      </c>
      <c r="T137" s="134" t="s">
        <v>160</v>
      </c>
      <c r="U137" s="134" t="s">
        <v>157</v>
      </c>
      <c r="V137" s="137">
        <f>IF(ISBLANK(Table1368[[#This Row],[Date réception Achat]]),"",IF(ISBLANK(Table1368[[#This Row],[Date revente]]),TODAY(),Table1368[[#This Row],[Date revente]])-Table1368[[#This Row],[Date réception Achat]])</f>
        <v>102</v>
      </c>
      <c r="W13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7" s="135">
        <f>IF(Table1368[[#This Row],[Prix de revente]]="","",Table1368[[#This Row],[Prix de revente]]-Table1368[[#This Row],[Prix total Achat]])</f>
        <v>17.732478900000004</v>
      </c>
      <c r="Y137" s="138">
        <f>IF(Table1368[[#This Row],[Prix de revente]]="","",(Table1368[[#This Row],[Prix de revente]]/Table1368[[#This Row],[Prix total Achat]]))</f>
        <v>1.475815894822154</v>
      </c>
      <c r="Z137" s="139">
        <f>IF(ISBLANK(Table1368[[#This Row],[Date réception Achat]]),"",IF(ISBLANK(Table1368[[#This Row],[Date réception Achat]]),TODAY(),Table1368[[#This Row],[Date réception Achat]])-Table1368[[#This Row],[Date achat]])</f>
        <v>15</v>
      </c>
      <c r="AA137" s="139">
        <f>IF(ISBLANK(Table1368[[#This Row],[Date relisting]]),"",IF(ISBLANK(Table1368[[#This Row],[Date relisting]]),TODAY(),Table1368[[#This Row],[Date relisting]])-Table1368[[#This Row],[Date réception Achat]])</f>
        <v>0</v>
      </c>
      <c r="AB137" s="139">
        <f>IF(ISBLANK(Table1368[[#This Row],[Date revente]]),"",IF(ISBLANK(Table1368[[#This Row],[Date revente]]),TODAY(),Table1368[[#This Row],[Date revente]])-Table1368[[#This Row],[Date relisting]])</f>
        <v>102</v>
      </c>
      <c r="AC137" s="139">
        <f>IF(ISBLANK(Table1368[[#This Row],[Date revente]]),"",IF(ISBLANK(Table1368[[#This Row],[Date revente]]),TODAY(),Table1368[[#This Row],[Date revente]])-Table1368[[#This Row],[Date réception Achat]])</f>
        <v>102</v>
      </c>
      <c r="AD137" s="139">
        <f>IF(ISBLANK(Table1368[[#This Row],[Date revente]]),"",IF(ISBLANK(Table1368[[#This Row],[Date revente]]),TODAY(),Table1368[[#This Row],[Date revente]])-Table1368[[#This Row],[Date achat]])</f>
        <v>117</v>
      </c>
    </row>
    <row r="138" spans="1:30" x14ac:dyDescent="0.25">
      <c r="A138" s="134">
        <v>46084</v>
      </c>
      <c r="B138" s="141" t="s">
        <v>472</v>
      </c>
      <c r="C138" s="134" t="s">
        <v>473</v>
      </c>
      <c r="D138" s="127" t="s">
        <v>157</v>
      </c>
      <c r="E138" s="127"/>
      <c r="F138" s="127"/>
      <c r="G138" s="134" t="s">
        <v>408</v>
      </c>
      <c r="H138" s="127" t="s">
        <v>287</v>
      </c>
      <c r="I138" s="134" t="s">
        <v>160</v>
      </c>
      <c r="J138" s="134" t="s">
        <v>261</v>
      </c>
      <c r="K138" s="135">
        <v>46.66</v>
      </c>
      <c r="L138" s="135">
        <v>3.63</v>
      </c>
      <c r="M138" s="135">
        <f>Table1368[[#This Row],[Prix article]]+Table1368[[#This Row],[Frais plateforme + envoi]]</f>
        <v>50.29</v>
      </c>
      <c r="N138" s="134">
        <v>46087</v>
      </c>
      <c r="O138" s="136">
        <f>(Table1368[[#This Row],[Prix total Achat]]*2)</f>
        <v>100.58</v>
      </c>
      <c r="P138" s="136">
        <f>Table1368[[#This Row],[Prix Min voulu (x2 )]]*1.2</f>
        <v>120.696</v>
      </c>
      <c r="Q138" s="134">
        <v>46090</v>
      </c>
      <c r="R138" s="134">
        <v>46093</v>
      </c>
      <c r="S138" s="135">
        <v>150</v>
      </c>
      <c r="T138" s="134" t="s">
        <v>160</v>
      </c>
      <c r="U138" s="134" t="s">
        <v>157</v>
      </c>
      <c r="V138" s="137">
        <f>IF(ISBLANK(Table1368[[#This Row],[Date réception Achat]]),"",IF(ISBLANK(Table1368[[#This Row],[Date revente]]),TODAY(),Table1368[[#This Row],[Date revente]])-Table1368[[#This Row],[Date réception Achat]])</f>
        <v>6</v>
      </c>
      <c r="W13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8" s="135">
        <f>IF(Table1368[[#This Row],[Prix de revente]]="","",Table1368[[#This Row],[Prix de revente]]-Table1368[[#This Row],[Prix total Achat]])</f>
        <v>99.71000000000001</v>
      </c>
      <c r="Y138" s="138">
        <f>IF(Table1368[[#This Row],[Prix de revente]]="","",(Table1368[[#This Row],[Prix de revente]]/Table1368[[#This Row],[Prix total Achat]]))</f>
        <v>2.9827003380393715</v>
      </c>
      <c r="Z138" s="139">
        <f>IF(ISBLANK(Table1368[[#This Row],[Date réception Achat]]),"",IF(ISBLANK(Table1368[[#This Row],[Date réception Achat]]),TODAY(),Table1368[[#This Row],[Date réception Achat]])-Table1368[[#This Row],[Date achat]])</f>
        <v>3</v>
      </c>
      <c r="AA138" s="139">
        <f>IF(ISBLANK(Table1368[[#This Row],[Date relisting]]),"",IF(ISBLANK(Table1368[[#This Row],[Date relisting]]),TODAY(),Table1368[[#This Row],[Date relisting]])-Table1368[[#This Row],[Date réception Achat]])</f>
        <v>3</v>
      </c>
      <c r="AB138" s="139">
        <f>IF(ISBLANK(Table1368[[#This Row],[Date revente]]),"",IF(ISBLANK(Table1368[[#This Row],[Date revente]]),TODAY(),Table1368[[#This Row],[Date revente]])-Table1368[[#This Row],[Date relisting]])</f>
        <v>3</v>
      </c>
      <c r="AC138" s="139">
        <f>IF(ISBLANK(Table1368[[#This Row],[Date revente]]),"",IF(ISBLANK(Table1368[[#This Row],[Date revente]]),TODAY(),Table1368[[#This Row],[Date revente]])-Table1368[[#This Row],[Date réception Achat]])</f>
        <v>6</v>
      </c>
      <c r="AD138" s="139">
        <f>IF(ISBLANK(Table1368[[#This Row],[Date revente]]),"",IF(ISBLANK(Table1368[[#This Row],[Date revente]]),TODAY(),Table1368[[#This Row],[Date revente]])-Table1368[[#This Row],[Date achat]])</f>
        <v>9</v>
      </c>
    </row>
    <row r="139" spans="1:30" x14ac:dyDescent="0.25">
      <c r="A139" s="134">
        <v>46084</v>
      </c>
      <c r="B139" s="141" t="s">
        <v>474</v>
      </c>
      <c r="C139" s="134" t="s">
        <v>475</v>
      </c>
      <c r="D139" s="127" t="s">
        <v>157</v>
      </c>
      <c r="E139" s="127"/>
      <c r="F139" s="127"/>
      <c r="G139" s="134" t="s">
        <v>476</v>
      </c>
      <c r="H139" s="127" t="s">
        <v>256</v>
      </c>
      <c r="I139" s="134" t="s">
        <v>160</v>
      </c>
      <c r="J139" s="134" t="s">
        <v>261</v>
      </c>
      <c r="K139" s="135">
        <v>46.66</v>
      </c>
      <c r="L139" s="135">
        <v>3.63</v>
      </c>
      <c r="M139" s="135">
        <f>Table1368[[#This Row],[Prix article]]+Table1368[[#This Row],[Frais plateforme + envoi]]</f>
        <v>50.29</v>
      </c>
      <c r="N139" s="134">
        <v>46087</v>
      </c>
      <c r="O139" s="136">
        <f>(Table1368[[#This Row],[Prix total Achat]]*2)</f>
        <v>100.58</v>
      </c>
      <c r="P139" s="136">
        <f>Table1368[[#This Row],[Prix Min voulu (x2 )]]*1.2</f>
        <v>120.696</v>
      </c>
      <c r="Q139" s="134">
        <v>46090</v>
      </c>
      <c r="R139" s="134">
        <v>46098</v>
      </c>
      <c r="S139" s="135">
        <v>140</v>
      </c>
      <c r="T139" s="134" t="s">
        <v>160</v>
      </c>
      <c r="U139" s="134" t="s">
        <v>157</v>
      </c>
      <c r="V139" s="137">
        <f>IF(ISBLANK(Table1368[[#This Row],[Date réception Achat]]),"",IF(ISBLANK(Table1368[[#This Row],[Date revente]]),TODAY(),Table1368[[#This Row],[Date revente]])-Table1368[[#This Row],[Date réception Achat]])</f>
        <v>11</v>
      </c>
      <c r="W13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39" s="135">
        <f>IF(Table1368[[#This Row],[Prix de revente]]="","",Table1368[[#This Row],[Prix de revente]]-Table1368[[#This Row],[Prix total Achat]])</f>
        <v>89.71000000000001</v>
      </c>
      <c r="Y139" s="138">
        <f>IF(Table1368[[#This Row],[Prix de revente]]="","",(Table1368[[#This Row],[Prix de revente]]/Table1368[[#This Row],[Prix total Achat]]))</f>
        <v>2.783853648836747</v>
      </c>
      <c r="Z139" s="139">
        <f>IF(ISBLANK(Table1368[[#This Row],[Date réception Achat]]),"",IF(ISBLANK(Table1368[[#This Row],[Date réception Achat]]),TODAY(),Table1368[[#This Row],[Date réception Achat]])-Table1368[[#This Row],[Date achat]])</f>
        <v>3</v>
      </c>
      <c r="AA139" s="139">
        <f>IF(ISBLANK(Table1368[[#This Row],[Date relisting]]),"",IF(ISBLANK(Table1368[[#This Row],[Date relisting]]),TODAY(),Table1368[[#This Row],[Date relisting]])-Table1368[[#This Row],[Date réception Achat]])</f>
        <v>3</v>
      </c>
      <c r="AB139" s="139">
        <f>IF(ISBLANK(Table1368[[#This Row],[Date revente]]),"",IF(ISBLANK(Table1368[[#This Row],[Date revente]]),TODAY(),Table1368[[#This Row],[Date revente]])-Table1368[[#This Row],[Date relisting]])</f>
        <v>8</v>
      </c>
      <c r="AC139" s="139">
        <f>IF(ISBLANK(Table1368[[#This Row],[Date revente]]),"",IF(ISBLANK(Table1368[[#This Row],[Date revente]]),TODAY(),Table1368[[#This Row],[Date revente]])-Table1368[[#This Row],[Date réception Achat]])</f>
        <v>11</v>
      </c>
      <c r="AD139" s="139">
        <f>IF(ISBLANK(Table1368[[#This Row],[Date revente]]),"",IF(ISBLANK(Table1368[[#This Row],[Date revente]]),TODAY(),Table1368[[#This Row],[Date revente]])-Table1368[[#This Row],[Date achat]])</f>
        <v>14</v>
      </c>
    </row>
    <row r="140" spans="1:30" x14ac:dyDescent="0.25">
      <c r="A140" s="134">
        <v>46084</v>
      </c>
      <c r="B140" s="141" t="s">
        <v>477</v>
      </c>
      <c r="C140" s="134" t="s">
        <v>478</v>
      </c>
      <c r="D140" s="127" t="s">
        <v>157</v>
      </c>
      <c r="E140" s="127"/>
      <c r="F140" s="127"/>
      <c r="G140" s="134" t="s">
        <v>476</v>
      </c>
      <c r="H140" s="127" t="s">
        <v>256</v>
      </c>
      <c r="I140" s="134" t="s">
        <v>160</v>
      </c>
      <c r="J140" s="134" t="s">
        <v>261</v>
      </c>
      <c r="K140" s="135">
        <v>46.66</v>
      </c>
      <c r="L140" s="135">
        <v>3.63</v>
      </c>
      <c r="M140" s="135">
        <f>Table1368[[#This Row],[Prix article]]+Table1368[[#This Row],[Frais plateforme + envoi]]</f>
        <v>50.29</v>
      </c>
      <c r="N140" s="134">
        <v>46087</v>
      </c>
      <c r="O140" s="136">
        <f>(Table1368[[#This Row],[Prix total Achat]]*2)</f>
        <v>100.58</v>
      </c>
      <c r="P140" s="136">
        <f>Table1368[[#This Row],[Prix Min voulu (x2 )]]*1.2</f>
        <v>120.696</v>
      </c>
      <c r="Q140" s="134">
        <v>46090</v>
      </c>
      <c r="R140" s="134">
        <v>46103</v>
      </c>
      <c r="S140" s="135">
        <v>128</v>
      </c>
      <c r="T140" s="134" t="s">
        <v>160</v>
      </c>
      <c r="U140" s="134" t="s">
        <v>157</v>
      </c>
      <c r="V140" s="137">
        <f>IF(ISBLANK(Table1368[[#This Row],[Date réception Achat]]),"",IF(ISBLANK(Table1368[[#This Row],[Date revente]]),TODAY(),Table1368[[#This Row],[Date revente]])-Table1368[[#This Row],[Date réception Achat]])</f>
        <v>16</v>
      </c>
      <c r="W14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0" s="135">
        <f>IF(Table1368[[#This Row],[Prix de revente]]="","",Table1368[[#This Row],[Prix de revente]]-Table1368[[#This Row],[Prix total Achat]])</f>
        <v>77.71000000000001</v>
      </c>
      <c r="Y140" s="138">
        <f>IF(Table1368[[#This Row],[Prix de revente]]="","",(Table1368[[#This Row],[Prix de revente]]/Table1368[[#This Row],[Prix total Achat]]))</f>
        <v>2.5452376217935972</v>
      </c>
      <c r="Z140" s="139">
        <f>IF(ISBLANK(Table1368[[#This Row],[Date réception Achat]]),"",IF(ISBLANK(Table1368[[#This Row],[Date réception Achat]]),TODAY(),Table1368[[#This Row],[Date réception Achat]])-Table1368[[#This Row],[Date achat]])</f>
        <v>3</v>
      </c>
      <c r="AA140" s="139">
        <f>IF(ISBLANK(Table1368[[#This Row],[Date relisting]]),"",IF(ISBLANK(Table1368[[#This Row],[Date relisting]]),TODAY(),Table1368[[#This Row],[Date relisting]])-Table1368[[#This Row],[Date réception Achat]])</f>
        <v>3</v>
      </c>
      <c r="AB140" s="139">
        <f>IF(ISBLANK(Table1368[[#This Row],[Date revente]]),"",IF(ISBLANK(Table1368[[#This Row],[Date revente]]),TODAY(),Table1368[[#This Row],[Date revente]])-Table1368[[#This Row],[Date relisting]])</f>
        <v>13</v>
      </c>
      <c r="AC140" s="139">
        <f>IF(ISBLANK(Table1368[[#This Row],[Date revente]]),"",IF(ISBLANK(Table1368[[#This Row],[Date revente]]),TODAY(),Table1368[[#This Row],[Date revente]])-Table1368[[#This Row],[Date réception Achat]])</f>
        <v>16</v>
      </c>
      <c r="AD140" s="139">
        <f>IF(ISBLANK(Table1368[[#This Row],[Date revente]]),"",IF(ISBLANK(Table1368[[#This Row],[Date revente]]),TODAY(),Table1368[[#This Row],[Date revente]])-Table1368[[#This Row],[Date achat]])</f>
        <v>19</v>
      </c>
    </row>
    <row r="141" spans="1:30" x14ac:dyDescent="0.25">
      <c r="A141" s="134">
        <v>46084</v>
      </c>
      <c r="B141" s="141" t="s">
        <v>479</v>
      </c>
      <c r="C141" s="134" t="s">
        <v>480</v>
      </c>
      <c r="D141" s="127" t="s">
        <v>157</v>
      </c>
      <c r="E141" s="127"/>
      <c r="F141" s="127"/>
      <c r="G141" s="134" t="s">
        <v>158</v>
      </c>
      <c r="H141" s="127" t="s">
        <v>256</v>
      </c>
      <c r="I141" s="134" t="s">
        <v>160</v>
      </c>
      <c r="J141" s="134" t="s">
        <v>157</v>
      </c>
      <c r="K141" s="135">
        <v>9</v>
      </c>
      <c r="L141" s="135">
        <f>Table1368[[#This Row],[Prix total Achat]]-Table1368[[#This Row],[Prix article]]</f>
        <v>6.6</v>
      </c>
      <c r="M141" s="135">
        <v>15.6</v>
      </c>
      <c r="N141" s="134">
        <v>46090</v>
      </c>
      <c r="O141" s="136">
        <f>(Table1368[[#This Row],[Prix total Achat]]*2)</f>
        <v>31.2</v>
      </c>
      <c r="P141" s="136">
        <f>Table1368[[#This Row],[Prix Min voulu (x2 )]]*1.2</f>
        <v>37.44</v>
      </c>
      <c r="Q141" s="134">
        <v>46090</v>
      </c>
      <c r="R141" s="134">
        <v>46103</v>
      </c>
      <c r="S141" s="135">
        <v>45</v>
      </c>
      <c r="T141" s="134" t="s">
        <v>160</v>
      </c>
      <c r="U141" s="134" t="s">
        <v>157</v>
      </c>
      <c r="V141" s="137">
        <f>IF(ISBLANK(Table1368[[#This Row],[Date réception Achat]]),"",IF(ISBLANK(Table1368[[#This Row],[Date revente]]),TODAY(),Table1368[[#This Row],[Date revente]])-Table1368[[#This Row],[Date réception Achat]])</f>
        <v>13</v>
      </c>
      <c r="W14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1" s="135">
        <f>IF(Table1368[[#This Row],[Prix de revente]]="","",Table1368[[#This Row],[Prix de revente]]-Table1368[[#This Row],[Prix total Achat]])</f>
        <v>29.4</v>
      </c>
      <c r="Y141" s="138">
        <f>IF(Table1368[[#This Row],[Prix de revente]]="","",(Table1368[[#This Row],[Prix de revente]]/Table1368[[#This Row],[Prix total Achat]]))</f>
        <v>2.8846153846153846</v>
      </c>
      <c r="Z141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41" s="139">
        <f>IF(ISBLANK(Table1368[[#This Row],[Date relisting]]),"",IF(ISBLANK(Table1368[[#This Row],[Date relisting]]),TODAY(),Table1368[[#This Row],[Date relisting]])-Table1368[[#This Row],[Date réception Achat]])</f>
        <v>0</v>
      </c>
      <c r="AB141" s="139">
        <f>IF(ISBLANK(Table1368[[#This Row],[Date revente]]),"",IF(ISBLANK(Table1368[[#This Row],[Date revente]]),TODAY(),Table1368[[#This Row],[Date revente]])-Table1368[[#This Row],[Date relisting]])</f>
        <v>13</v>
      </c>
      <c r="AC141" s="139">
        <f>IF(ISBLANK(Table1368[[#This Row],[Date revente]]),"",IF(ISBLANK(Table1368[[#This Row],[Date revente]]),TODAY(),Table1368[[#This Row],[Date revente]])-Table1368[[#This Row],[Date réception Achat]])</f>
        <v>13</v>
      </c>
      <c r="AD141" s="139">
        <f>IF(ISBLANK(Table1368[[#This Row],[Date revente]]),"",IF(ISBLANK(Table1368[[#This Row],[Date revente]]),TODAY(),Table1368[[#This Row],[Date revente]])-Table1368[[#This Row],[Date achat]])</f>
        <v>19</v>
      </c>
    </row>
    <row r="142" spans="1:30" x14ac:dyDescent="0.25">
      <c r="A142" s="134">
        <v>46086</v>
      </c>
      <c r="B142" s="141" t="s">
        <v>168</v>
      </c>
      <c r="C142" s="134" t="s">
        <v>481</v>
      </c>
      <c r="D142" s="127" t="s">
        <v>157</v>
      </c>
      <c r="E142" s="127"/>
      <c r="F142" s="127"/>
      <c r="G142" s="134" t="s">
        <v>268</v>
      </c>
      <c r="H142" s="127" t="s">
        <v>164</v>
      </c>
      <c r="I142" s="134" t="s">
        <v>160</v>
      </c>
      <c r="J142" s="134" t="s">
        <v>157</v>
      </c>
      <c r="K142" s="135">
        <v>17</v>
      </c>
      <c r="L142" s="135">
        <f>Table1368[[#This Row],[Prix total Achat]]-Table1368[[#This Row],[Prix article]]</f>
        <v>4.780000000000001</v>
      </c>
      <c r="M142" s="135">
        <v>21.78</v>
      </c>
      <c r="N142" s="134">
        <v>46094</v>
      </c>
      <c r="O142" s="136">
        <f>(Table1368[[#This Row],[Prix total Achat]]*2)</f>
        <v>43.56</v>
      </c>
      <c r="P142" s="136">
        <f>Table1368[[#This Row],[Prix Min voulu (x2 )]]*1.2</f>
        <v>52.272</v>
      </c>
      <c r="Q142" s="134">
        <v>46097</v>
      </c>
      <c r="R142" s="134">
        <v>46112</v>
      </c>
      <c r="S142" s="135">
        <v>55</v>
      </c>
      <c r="T142" s="134" t="s">
        <v>160</v>
      </c>
      <c r="U142" s="134" t="s">
        <v>157</v>
      </c>
      <c r="V142" s="137">
        <f>IF(ISBLANK(Table1368[[#This Row],[Date réception Achat]]),"",IF(ISBLANK(Table1368[[#This Row],[Date revente]]),TODAY(),Table1368[[#This Row],[Date revente]])-Table1368[[#This Row],[Date réception Achat]])</f>
        <v>18</v>
      </c>
      <c r="W14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2" s="135">
        <f>IF(Table1368[[#This Row],[Prix de revente]]="","",Table1368[[#This Row],[Prix de revente]]-Table1368[[#This Row],[Prix total Achat]])</f>
        <v>33.22</v>
      </c>
      <c r="Y142" s="138">
        <f>IF(Table1368[[#This Row],[Prix de revente]]="","",(Table1368[[#This Row],[Prix de revente]]/Table1368[[#This Row],[Prix total Achat]]))</f>
        <v>2.525252525252525</v>
      </c>
      <c r="Z142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142" s="139">
        <f>IF(ISBLANK(Table1368[[#This Row],[Date relisting]]),"",IF(ISBLANK(Table1368[[#This Row],[Date relisting]]),TODAY(),Table1368[[#This Row],[Date relisting]])-Table1368[[#This Row],[Date réception Achat]])</f>
        <v>3</v>
      </c>
      <c r="AB142" s="139">
        <f>IF(ISBLANK(Table1368[[#This Row],[Date revente]]),"",IF(ISBLANK(Table1368[[#This Row],[Date revente]]),TODAY(),Table1368[[#This Row],[Date revente]])-Table1368[[#This Row],[Date relisting]])</f>
        <v>15</v>
      </c>
      <c r="AC142" s="139">
        <f>IF(ISBLANK(Table1368[[#This Row],[Date revente]]),"",IF(ISBLANK(Table1368[[#This Row],[Date revente]]),TODAY(),Table1368[[#This Row],[Date revente]])-Table1368[[#This Row],[Date réception Achat]])</f>
        <v>18</v>
      </c>
      <c r="AD142" s="139">
        <f>IF(ISBLANK(Table1368[[#This Row],[Date revente]]),"",IF(ISBLANK(Table1368[[#This Row],[Date revente]]),TODAY(),Table1368[[#This Row],[Date revente]])-Table1368[[#This Row],[Date achat]])</f>
        <v>26</v>
      </c>
    </row>
    <row r="143" spans="1:30" x14ac:dyDescent="0.25">
      <c r="A143" s="134">
        <v>46087</v>
      </c>
      <c r="B143" s="141" t="s">
        <v>203</v>
      </c>
      <c r="C143" s="134" t="s">
        <v>482</v>
      </c>
      <c r="D143" s="127" t="s">
        <v>157</v>
      </c>
      <c r="E143" s="127"/>
      <c r="F143" s="127"/>
      <c r="G143" s="134" t="s">
        <v>228</v>
      </c>
      <c r="H143" s="127" t="s">
        <v>178</v>
      </c>
      <c r="I143" s="134" t="s">
        <v>160</v>
      </c>
      <c r="J143" s="134" t="s">
        <v>157</v>
      </c>
      <c r="K143" s="135">
        <v>12</v>
      </c>
      <c r="L143" s="135">
        <f>Table1368[[#This Row],[Prix total Achat]]-Table1368[[#This Row],[Prix article]]</f>
        <v>4.129999999999999</v>
      </c>
      <c r="M143" s="135">
        <v>16.13</v>
      </c>
      <c r="N143" s="134">
        <v>46099</v>
      </c>
      <c r="O143" s="136">
        <f>(Table1368[[#This Row],[Prix total Achat]]*2)</f>
        <v>32.26</v>
      </c>
      <c r="P143" s="136">
        <f>Table1368[[#This Row],[Prix Min voulu (x2 )]]*1.2</f>
        <v>38.711999999999996</v>
      </c>
      <c r="Q143" s="134">
        <v>46099</v>
      </c>
      <c r="R143" s="134">
        <v>46170</v>
      </c>
      <c r="S143" s="135">
        <v>55</v>
      </c>
      <c r="T143" s="134" t="s">
        <v>160</v>
      </c>
      <c r="U143" s="134" t="s">
        <v>157</v>
      </c>
      <c r="V143" s="137">
        <f>IF(ISBLANK(Table1368[[#This Row],[Date réception Achat]]),"",IF(ISBLANK(Table1368[[#This Row],[Date revente]]),TODAY(),Table1368[[#This Row],[Date revente]])-Table1368[[#This Row],[Date réception Achat]])</f>
        <v>71</v>
      </c>
      <c r="W14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3" s="135">
        <f>IF(Table1368[[#This Row],[Prix de revente]]="","",Table1368[[#This Row],[Prix de revente]]-Table1368[[#This Row],[Prix total Achat]])</f>
        <v>38.870000000000005</v>
      </c>
      <c r="Y143" s="138">
        <f>IF(Table1368[[#This Row],[Prix de revente]]="","",(Table1368[[#This Row],[Prix de revente]]/Table1368[[#This Row],[Prix total Achat]]))</f>
        <v>3.4097954122752636</v>
      </c>
      <c r="Z143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143" s="139">
        <f>IF(ISBLANK(Table1368[[#This Row],[Date relisting]]),"",IF(ISBLANK(Table1368[[#This Row],[Date relisting]]),TODAY(),Table1368[[#This Row],[Date relisting]])-Table1368[[#This Row],[Date réception Achat]])</f>
        <v>0</v>
      </c>
      <c r="AB143" s="139">
        <f>IF(ISBLANK(Table1368[[#This Row],[Date revente]]),"",IF(ISBLANK(Table1368[[#This Row],[Date revente]]),TODAY(),Table1368[[#This Row],[Date revente]])-Table1368[[#This Row],[Date relisting]])</f>
        <v>71</v>
      </c>
      <c r="AC143" s="139">
        <f>IF(ISBLANK(Table1368[[#This Row],[Date revente]]),"",IF(ISBLANK(Table1368[[#This Row],[Date revente]]),TODAY(),Table1368[[#This Row],[Date revente]])-Table1368[[#This Row],[Date réception Achat]])</f>
        <v>71</v>
      </c>
      <c r="AD143" s="139">
        <f>IF(ISBLANK(Table1368[[#This Row],[Date revente]]),"",IF(ISBLANK(Table1368[[#This Row],[Date revente]]),TODAY(),Table1368[[#This Row],[Date revente]])-Table1368[[#This Row],[Date achat]])</f>
        <v>83</v>
      </c>
    </row>
    <row r="144" spans="1:30" x14ac:dyDescent="0.25">
      <c r="A144" s="134">
        <v>46087</v>
      </c>
      <c r="B144" s="141" t="s">
        <v>168</v>
      </c>
      <c r="C144" s="134" t="s">
        <v>483</v>
      </c>
      <c r="D144" s="127" t="s">
        <v>157</v>
      </c>
      <c r="E144" s="127"/>
      <c r="F144" s="127"/>
      <c r="G144" s="134" t="s">
        <v>158</v>
      </c>
      <c r="H144" s="127" t="s">
        <v>174</v>
      </c>
      <c r="I144" s="134" t="s">
        <v>160</v>
      </c>
      <c r="J144" s="134" t="s">
        <v>157</v>
      </c>
      <c r="K144" s="135">
        <v>25</v>
      </c>
      <c r="L144" s="135">
        <f>Table1368[[#This Row],[Prix total Achat]]-Table1368[[#This Row],[Prix article]]</f>
        <v>4.780000000000001</v>
      </c>
      <c r="M144" s="135">
        <v>29.78</v>
      </c>
      <c r="N144" s="134">
        <v>46097</v>
      </c>
      <c r="O144" s="136">
        <f>(Table1368[[#This Row],[Prix total Achat]]*2)</f>
        <v>59.56</v>
      </c>
      <c r="P144" s="136">
        <f>Table1368[[#This Row],[Prix Min voulu (x2 )]]*1.2</f>
        <v>71.472</v>
      </c>
      <c r="Q144" s="134">
        <v>46097</v>
      </c>
      <c r="R144" s="134">
        <v>46142</v>
      </c>
      <c r="S144" s="135">
        <v>50</v>
      </c>
      <c r="T144" s="134" t="s">
        <v>160</v>
      </c>
      <c r="U144" s="134" t="s">
        <v>157</v>
      </c>
      <c r="V144" s="137">
        <f>IF(ISBLANK(Table1368[[#This Row],[Date réception Achat]]),"",IF(ISBLANK(Table1368[[#This Row],[Date revente]]),TODAY(),Table1368[[#This Row],[Date revente]])-Table1368[[#This Row],[Date réception Achat]])</f>
        <v>45</v>
      </c>
      <c r="W14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4" s="135">
        <f>IF(Table1368[[#This Row],[Prix de revente]]="","",Table1368[[#This Row],[Prix de revente]]-Table1368[[#This Row],[Prix total Achat]])</f>
        <v>20.22</v>
      </c>
      <c r="Y144" s="138">
        <f>IF(Table1368[[#This Row],[Prix de revente]]="","",(Table1368[[#This Row],[Prix de revente]]/Table1368[[#This Row],[Prix total Achat]]))</f>
        <v>1.6789791806581598</v>
      </c>
      <c r="Z144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144" s="139">
        <f>IF(ISBLANK(Table1368[[#This Row],[Date relisting]]),"",IF(ISBLANK(Table1368[[#This Row],[Date relisting]]),TODAY(),Table1368[[#This Row],[Date relisting]])-Table1368[[#This Row],[Date réception Achat]])</f>
        <v>0</v>
      </c>
      <c r="AB144" s="139">
        <f>IF(ISBLANK(Table1368[[#This Row],[Date revente]]),"",IF(ISBLANK(Table1368[[#This Row],[Date revente]]),TODAY(),Table1368[[#This Row],[Date revente]])-Table1368[[#This Row],[Date relisting]])</f>
        <v>45</v>
      </c>
      <c r="AC144" s="139">
        <f>IF(ISBLANK(Table1368[[#This Row],[Date revente]]),"",IF(ISBLANK(Table1368[[#This Row],[Date revente]]),TODAY(),Table1368[[#This Row],[Date revente]])-Table1368[[#This Row],[Date réception Achat]])</f>
        <v>45</v>
      </c>
      <c r="AD144" s="139">
        <f>IF(ISBLANK(Table1368[[#This Row],[Date revente]]),"",IF(ISBLANK(Table1368[[#This Row],[Date revente]]),TODAY(),Table1368[[#This Row],[Date revente]])-Table1368[[#This Row],[Date achat]])</f>
        <v>55</v>
      </c>
    </row>
    <row r="145" spans="1:30" x14ac:dyDescent="0.25">
      <c r="A145" s="134">
        <v>46088</v>
      </c>
      <c r="B145" s="141" t="s">
        <v>309</v>
      </c>
      <c r="C145" s="134" t="s">
        <v>484</v>
      </c>
      <c r="D145" s="127" t="s">
        <v>157</v>
      </c>
      <c r="E145" s="127"/>
      <c r="F145" s="127"/>
      <c r="G145" s="134" t="s">
        <v>228</v>
      </c>
      <c r="H145" s="127" t="s">
        <v>330</v>
      </c>
      <c r="I145" s="134" t="s">
        <v>160</v>
      </c>
      <c r="J145" s="134" t="s">
        <v>157</v>
      </c>
      <c r="K145" s="135">
        <v>10</v>
      </c>
      <c r="L145" s="135">
        <f>Table1368[[#This Row],[Prix total Achat]]-Table1368[[#This Row],[Prix article]]</f>
        <v>4.029999999999999</v>
      </c>
      <c r="M145" s="135">
        <v>14.03</v>
      </c>
      <c r="N145" s="134">
        <v>46099</v>
      </c>
      <c r="O145" s="136">
        <f>(Table1368[[#This Row],[Prix total Achat]]*2)</f>
        <v>28.06</v>
      </c>
      <c r="P145" s="136">
        <f>Table1368[[#This Row],[Prix Min voulu (x2 )]]*1.2</f>
        <v>33.672</v>
      </c>
      <c r="Q145" s="134">
        <v>46100</v>
      </c>
      <c r="R145" s="134">
        <v>46101</v>
      </c>
      <c r="S145" s="135">
        <v>59</v>
      </c>
      <c r="T145" s="134" t="s">
        <v>160</v>
      </c>
      <c r="U145" s="134" t="s">
        <v>157</v>
      </c>
      <c r="V145" s="137">
        <f>IF(ISBLANK(Table1368[[#This Row],[Date réception Achat]]),"",IF(ISBLANK(Table1368[[#This Row],[Date revente]]),TODAY(),Table1368[[#This Row],[Date revente]])-Table1368[[#This Row],[Date réception Achat]])</f>
        <v>2</v>
      </c>
      <c r="W14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5" s="135">
        <f>IF(Table1368[[#This Row],[Prix de revente]]="","",Table1368[[#This Row],[Prix de revente]]-Table1368[[#This Row],[Prix total Achat]])</f>
        <v>44.97</v>
      </c>
      <c r="Y145" s="138">
        <f>IF(Table1368[[#This Row],[Prix de revente]]="","",(Table1368[[#This Row],[Prix de revente]]/Table1368[[#This Row],[Prix total Achat]]))</f>
        <v>4.205274411974341</v>
      </c>
      <c r="Z145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145" s="139">
        <f>IF(ISBLANK(Table1368[[#This Row],[Date relisting]]),"",IF(ISBLANK(Table1368[[#This Row],[Date relisting]]),TODAY(),Table1368[[#This Row],[Date relisting]])-Table1368[[#This Row],[Date réception Achat]])</f>
        <v>1</v>
      </c>
      <c r="AB145" s="139">
        <f>IF(ISBLANK(Table1368[[#This Row],[Date revente]]),"",IF(ISBLANK(Table1368[[#This Row],[Date revente]]),TODAY(),Table1368[[#This Row],[Date revente]])-Table1368[[#This Row],[Date relisting]])</f>
        <v>1</v>
      </c>
      <c r="AC145" s="139">
        <f>IF(ISBLANK(Table1368[[#This Row],[Date revente]]),"",IF(ISBLANK(Table1368[[#This Row],[Date revente]]),TODAY(),Table1368[[#This Row],[Date revente]])-Table1368[[#This Row],[Date réception Achat]])</f>
        <v>2</v>
      </c>
      <c r="AD145" s="139">
        <f>IF(ISBLANK(Table1368[[#This Row],[Date revente]]),"",IF(ISBLANK(Table1368[[#This Row],[Date revente]]),TODAY(),Table1368[[#This Row],[Date revente]])-Table1368[[#This Row],[Date achat]])</f>
        <v>13</v>
      </c>
    </row>
    <row r="146" spans="1:30" x14ac:dyDescent="0.25">
      <c r="A146" s="134">
        <v>46092</v>
      </c>
      <c r="B146" s="141" t="s">
        <v>203</v>
      </c>
      <c r="C146" s="134" t="s">
        <v>485</v>
      </c>
      <c r="D146" s="127" t="s">
        <v>157</v>
      </c>
      <c r="E146" s="127"/>
      <c r="F146" s="127"/>
      <c r="G146" s="134" t="s">
        <v>202</v>
      </c>
      <c r="H146" s="127" t="s">
        <v>174</v>
      </c>
      <c r="I146" s="134" t="s">
        <v>160</v>
      </c>
      <c r="J146" s="134" t="s">
        <v>157</v>
      </c>
      <c r="K146" s="135">
        <v>21</v>
      </c>
      <c r="L146" s="135">
        <f>Table1368[[#This Row],[Prix total Achat]]-Table1368[[#This Row],[Prix article]]</f>
        <v>5.530000000000001</v>
      </c>
      <c r="M146" s="135">
        <v>26.53</v>
      </c>
      <c r="N146" s="134">
        <v>46099</v>
      </c>
      <c r="O146" s="136">
        <f>(Table1368[[#This Row],[Prix total Achat]]*2)</f>
        <v>53.06</v>
      </c>
      <c r="P146" s="136">
        <f>Table1368[[#This Row],[Prix Min voulu (x2 )]]*1.2</f>
        <v>63.672</v>
      </c>
      <c r="Q146" s="134">
        <v>46100</v>
      </c>
      <c r="R146" s="134"/>
      <c r="S146" s="135"/>
      <c r="T146" s="134"/>
      <c r="U146" s="134" t="s">
        <v>157</v>
      </c>
      <c r="V146" s="137">
        <f>IF(ISBLANK(Table1368[[#This Row],[Date réception Achat]]),"",IF(ISBLANK(Table1368[[#This Row],[Date revente]]),TODAY(),Table1368[[#This Row],[Date revente]])-Table1368[[#This Row],[Date réception Achat]])</f>
        <v>204</v>
      </c>
      <c r="W14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46" s="135">
        <f>IF(Table1368[[#This Row],[Prix de revente]]="","",Table1368[[#This Row],[Prix de revente]]-Table1368[[#This Row],[Prix total Achat]])</f>
      </c>
      <c r="Y146" s="138">
        <f>IF(Table1368[[#This Row],[Prix de revente]]="","",(Table1368[[#This Row],[Prix de revente]]/Table1368[[#This Row],[Prix total Achat]]))</f>
      </c>
      <c r="Z146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46" s="139">
        <f>IF(ISBLANK(Table1368[[#This Row],[Date relisting]]),"",IF(ISBLANK(Table1368[[#This Row],[Date relisting]]),TODAY(),Table1368[[#This Row],[Date relisting]])-Table1368[[#This Row],[Date réception Achat]])</f>
        <v>1</v>
      </c>
      <c r="AB146" s="139">
        <f>IF(ISBLANK(Table1368[[#This Row],[Date revente]]),"",IF(ISBLANK(Table1368[[#This Row],[Date revente]]),TODAY(),Table1368[[#This Row],[Date revente]])-Table1368[[#This Row],[Date relisting]])</f>
      </c>
      <c r="AC146" s="139">
        <f>IF(ISBLANK(Table1368[[#This Row],[Date revente]]),"",IF(ISBLANK(Table1368[[#This Row],[Date revente]]),TODAY(),Table1368[[#This Row],[Date revente]])-Table1368[[#This Row],[Date réception Achat]])</f>
      </c>
      <c r="AD146" s="139">
        <f>IF(ISBLANK(Table1368[[#This Row],[Date revente]]),"",IF(ISBLANK(Table1368[[#This Row],[Date revente]]),TODAY(),Table1368[[#This Row],[Date revente]])-Table1368[[#This Row],[Date achat]])</f>
      </c>
    </row>
    <row r="147" spans="1:30" x14ac:dyDescent="0.25">
      <c r="A147" s="134">
        <v>46093</v>
      </c>
      <c r="B147" s="141" t="s">
        <v>486</v>
      </c>
      <c r="C147" s="134" t="s">
        <v>487</v>
      </c>
      <c r="D147" s="127" t="s">
        <v>157</v>
      </c>
      <c r="E147" s="127"/>
      <c r="F147" s="127"/>
      <c r="G147" s="134" t="s">
        <v>488</v>
      </c>
      <c r="H147" s="127" t="s">
        <v>489</v>
      </c>
      <c r="I147" s="134" t="s">
        <v>160</v>
      </c>
      <c r="J147" s="134" t="s">
        <v>157</v>
      </c>
      <c r="K147" s="135">
        <v>30</v>
      </c>
      <c r="L147" s="135">
        <f>Table1368[[#This Row],[Prix total Achat]]-Table1368[[#This Row],[Prix article]]</f>
        <v>6.75</v>
      </c>
      <c r="M147" s="135">
        <v>36.75</v>
      </c>
      <c r="N147" s="134">
        <v>46105</v>
      </c>
      <c r="O147" s="136">
        <f>(Table1368[[#This Row],[Prix total Achat]]*2)</f>
        <v>73.5</v>
      </c>
      <c r="P147" s="136">
        <f>Table1368[[#This Row],[Prix Min voulu (x2 )]]*1.2</f>
        <v>88.2</v>
      </c>
      <c r="Q147" s="134">
        <v>46106</v>
      </c>
      <c r="R147" s="134">
        <v>46144</v>
      </c>
      <c r="S147" s="135">
        <v>70</v>
      </c>
      <c r="T147" s="134" t="s">
        <v>160</v>
      </c>
      <c r="U147" s="134" t="s">
        <v>157</v>
      </c>
      <c r="V147" s="137">
        <f>IF(ISBLANK(Table1368[[#This Row],[Date réception Achat]]),"",IF(ISBLANK(Table1368[[#This Row],[Date revente]]),TODAY(),Table1368[[#This Row],[Date revente]])-Table1368[[#This Row],[Date réception Achat]])</f>
        <v>39</v>
      </c>
      <c r="W14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7" s="135">
        <f>IF(Table1368[[#This Row],[Prix de revente]]="","",Table1368[[#This Row],[Prix de revente]]-Table1368[[#This Row],[Prix total Achat]])</f>
        <v>33.25</v>
      </c>
      <c r="Y147" s="138">
        <f>IF(Table1368[[#This Row],[Prix de revente]]="","",(Table1368[[#This Row],[Prix de revente]]/Table1368[[#This Row],[Prix total Achat]]))</f>
        <v>1.9047619047619047</v>
      </c>
      <c r="Z147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147" s="139">
        <f>IF(ISBLANK(Table1368[[#This Row],[Date relisting]]),"",IF(ISBLANK(Table1368[[#This Row],[Date relisting]]),TODAY(),Table1368[[#This Row],[Date relisting]])-Table1368[[#This Row],[Date réception Achat]])</f>
        <v>1</v>
      </c>
      <c r="AB147" s="139">
        <f>IF(ISBLANK(Table1368[[#This Row],[Date revente]]),"",IF(ISBLANK(Table1368[[#This Row],[Date revente]]),TODAY(),Table1368[[#This Row],[Date revente]])-Table1368[[#This Row],[Date relisting]])</f>
        <v>38</v>
      </c>
      <c r="AC147" s="139">
        <f>IF(ISBLANK(Table1368[[#This Row],[Date revente]]),"",IF(ISBLANK(Table1368[[#This Row],[Date revente]]),TODAY(),Table1368[[#This Row],[Date revente]])-Table1368[[#This Row],[Date réception Achat]])</f>
        <v>39</v>
      </c>
      <c r="AD147" s="139">
        <f>IF(ISBLANK(Table1368[[#This Row],[Date revente]]),"",IF(ISBLANK(Table1368[[#This Row],[Date revente]]),TODAY(),Table1368[[#This Row],[Date revente]])-Table1368[[#This Row],[Date achat]])</f>
        <v>51</v>
      </c>
    </row>
    <row r="148" spans="1:30" x14ac:dyDescent="0.25">
      <c r="A148" s="134">
        <v>46100</v>
      </c>
      <c r="B148" s="141" t="s">
        <v>490</v>
      </c>
      <c r="C148" s="134" t="s">
        <v>491</v>
      </c>
      <c r="D148" s="127" t="s">
        <v>157</v>
      </c>
      <c r="E148" s="127"/>
      <c r="F148" s="127"/>
      <c r="G148" s="134" t="s">
        <v>417</v>
      </c>
      <c r="H148" s="127" t="s">
        <v>164</v>
      </c>
      <c r="I148" s="134" t="s">
        <v>160</v>
      </c>
      <c r="J148" s="134" t="s">
        <v>189</v>
      </c>
      <c r="K148" s="135">
        <v>25</v>
      </c>
      <c r="L148" s="135">
        <f>Table1368[[#This Row],[Prix total Achat]]-Table1368[[#This Row],[Prix article]]</f>
        <v>3.4899999999999984</v>
      </c>
      <c r="M148" s="135">
        <v>28.49</v>
      </c>
      <c r="N148" s="134">
        <v>46105</v>
      </c>
      <c r="O148" s="136">
        <f>(Table1368[[#This Row],[Prix total Achat]]*2)</f>
        <v>56.98</v>
      </c>
      <c r="P148" s="136">
        <f>Table1368[[#This Row],[Prix Min voulu (x2 )]]*1.2</f>
        <v>68.37599999999999</v>
      </c>
      <c r="Q148" s="134">
        <v>46106</v>
      </c>
      <c r="R148" s="134">
        <v>46286</v>
      </c>
      <c r="S148" s="135">
        <v>85</v>
      </c>
      <c r="T148" s="134" t="s">
        <v>160</v>
      </c>
      <c r="U148" s="134" t="s">
        <v>157</v>
      </c>
      <c r="V148" s="137">
        <f>IF(ISBLANK(Table1368[[#This Row],[Date réception Achat]]),"",IF(ISBLANK(Table1368[[#This Row],[Date revente]]),TODAY(),Table1368[[#This Row],[Date revente]])-Table1368[[#This Row],[Date réception Achat]])</f>
        <v>181</v>
      </c>
      <c r="W14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48" s="135">
        <f>IF(Table1368[[#This Row],[Prix de revente]]="","",Table1368[[#This Row],[Prix de revente]]-Table1368[[#This Row],[Prix total Achat]])</f>
        <v>56.510000000000005</v>
      </c>
      <c r="Y148" s="138">
        <f>IF(Table1368[[#This Row],[Prix de revente]]="","",(Table1368[[#This Row],[Prix de revente]]/Table1368[[#This Row],[Prix total Achat]]))</f>
        <v>2.9835029835029836</v>
      </c>
      <c r="Z148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148" s="139">
        <f>IF(ISBLANK(Table1368[[#This Row],[Date relisting]]),"",IF(ISBLANK(Table1368[[#This Row],[Date relisting]]),TODAY(),Table1368[[#This Row],[Date relisting]])-Table1368[[#This Row],[Date réception Achat]])</f>
        <v>1</v>
      </c>
      <c r="AB148" s="139">
        <f>IF(ISBLANK(Table1368[[#This Row],[Date revente]]),"",IF(ISBLANK(Table1368[[#This Row],[Date revente]]),TODAY(),Table1368[[#This Row],[Date revente]])-Table1368[[#This Row],[Date relisting]])</f>
        <v>180</v>
      </c>
      <c r="AC148" s="139">
        <f>IF(ISBLANK(Table1368[[#This Row],[Date revente]]),"",IF(ISBLANK(Table1368[[#This Row],[Date revente]]),TODAY(),Table1368[[#This Row],[Date revente]])-Table1368[[#This Row],[Date réception Achat]])</f>
        <v>181</v>
      </c>
      <c r="AD148" s="139">
        <f>IF(ISBLANK(Table1368[[#This Row],[Date revente]]),"",IF(ISBLANK(Table1368[[#This Row],[Date revente]]),TODAY(),Table1368[[#This Row],[Date revente]])-Table1368[[#This Row],[Date achat]])</f>
        <v>186</v>
      </c>
    </row>
    <row r="149" spans="1:30" x14ac:dyDescent="0.25">
      <c r="A149" s="134">
        <v>46100</v>
      </c>
      <c r="B149" s="141" t="s">
        <v>492</v>
      </c>
      <c r="C149" s="134" t="s">
        <v>493</v>
      </c>
      <c r="D149" s="127" t="s">
        <v>157</v>
      </c>
      <c r="E149" s="127"/>
      <c r="F149" s="127"/>
      <c r="G149" s="134" t="s">
        <v>417</v>
      </c>
      <c r="H149" s="127" t="s">
        <v>164</v>
      </c>
      <c r="I149" s="134" t="s">
        <v>160</v>
      </c>
      <c r="J149" s="134" t="s">
        <v>189</v>
      </c>
      <c r="K149" s="135">
        <v>25</v>
      </c>
      <c r="L149" s="135">
        <f>Table1368[[#This Row],[Prix total Achat]]-Table1368[[#This Row],[Prix article]]</f>
        <v>3.4899999999999984</v>
      </c>
      <c r="M149" s="135">
        <v>28.49</v>
      </c>
      <c r="N149" s="134">
        <v>46105</v>
      </c>
      <c r="O149" s="136">
        <f>(Table1368[[#This Row],[Prix total Achat]]*2)</f>
        <v>56.98</v>
      </c>
      <c r="P149" s="136">
        <f>Table1368[[#This Row],[Prix Min voulu (x2 )]]*1.2</f>
        <v>68.37599999999999</v>
      </c>
      <c r="Q149" s="134">
        <v>46106</v>
      </c>
      <c r="R149" s="134"/>
      <c r="S149" s="135"/>
      <c r="T149" s="134"/>
      <c r="U149" s="134" t="s">
        <v>157</v>
      </c>
      <c r="V149" s="137">
        <f>IF(ISBLANK(Table1368[[#This Row],[Date réception Achat]]),"",IF(ISBLANK(Table1368[[#This Row],[Date revente]]),TODAY(),Table1368[[#This Row],[Date revente]])-Table1368[[#This Row],[Date réception Achat]])</f>
        <v>198</v>
      </c>
      <c r="W14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49" s="135">
        <f>IF(Table1368[[#This Row],[Prix de revente]]="","",Table1368[[#This Row],[Prix de revente]]-Table1368[[#This Row],[Prix total Achat]])</f>
      </c>
      <c r="Y149" s="138">
        <f>IF(Table1368[[#This Row],[Prix de revente]]="","",(Table1368[[#This Row],[Prix de revente]]/Table1368[[#This Row],[Prix total Achat]]))</f>
      </c>
      <c r="Z149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149" s="139">
        <f>IF(ISBLANK(Table1368[[#This Row],[Date relisting]]),"",IF(ISBLANK(Table1368[[#This Row],[Date relisting]]),TODAY(),Table1368[[#This Row],[Date relisting]])-Table1368[[#This Row],[Date réception Achat]])</f>
        <v>1</v>
      </c>
      <c r="AB149" s="139">
        <f>IF(ISBLANK(Table1368[[#This Row],[Date revente]]),"",IF(ISBLANK(Table1368[[#This Row],[Date revente]]),TODAY(),Table1368[[#This Row],[Date revente]])-Table1368[[#This Row],[Date relisting]])</f>
      </c>
      <c r="AC149" s="139">
        <f>IF(ISBLANK(Table1368[[#This Row],[Date revente]]),"",IF(ISBLANK(Table1368[[#This Row],[Date revente]]),TODAY(),Table1368[[#This Row],[Date revente]])-Table1368[[#This Row],[Date réception Achat]])</f>
      </c>
      <c r="AD149" s="139">
        <f>IF(ISBLANK(Table1368[[#This Row],[Date revente]]),"",IF(ISBLANK(Table1368[[#This Row],[Date revente]]),TODAY(),Table1368[[#This Row],[Date revente]])-Table1368[[#This Row],[Date achat]])</f>
      </c>
    </row>
    <row r="150" spans="1:30" x14ac:dyDescent="0.25">
      <c r="A150" s="134">
        <v>46102</v>
      </c>
      <c r="B150" s="141" t="s">
        <v>494</v>
      </c>
      <c r="C150" s="134" t="s">
        <v>495</v>
      </c>
      <c r="D150" s="127" t="s">
        <v>157</v>
      </c>
      <c r="E150" s="127"/>
      <c r="F150" s="127"/>
      <c r="G150" s="134" t="s">
        <v>417</v>
      </c>
      <c r="H150" s="127" t="s">
        <v>174</v>
      </c>
      <c r="I150" s="134" t="s">
        <v>160</v>
      </c>
      <c r="J150" s="134" t="s">
        <v>157</v>
      </c>
      <c r="K150" s="135">
        <v>10</v>
      </c>
      <c r="L150" s="135">
        <f>Table1368[[#This Row],[Prix total Achat]]-Table1368[[#This Row],[Prix article]]</f>
        <v>5.75</v>
      </c>
      <c r="M150" s="135">
        <v>15.75</v>
      </c>
      <c r="N150" s="134">
        <v>46114</v>
      </c>
      <c r="O150" s="136">
        <f>(Table1368[[#This Row],[Prix total Achat]]*2)</f>
        <v>31.5</v>
      </c>
      <c r="P150" s="136">
        <f>Table1368[[#This Row],[Prix Min voulu (x2 )]]*1.2</f>
        <v>37.8</v>
      </c>
      <c r="Q150" s="134">
        <v>46120</v>
      </c>
      <c r="R150" s="134">
        <v>46129</v>
      </c>
      <c r="S150" s="135">
        <v>69</v>
      </c>
      <c r="T150" s="134" t="s">
        <v>160</v>
      </c>
      <c r="U150" s="134" t="s">
        <v>157</v>
      </c>
      <c r="V150" s="137">
        <f>IF(ISBLANK(Table1368[[#This Row],[Date réception Achat]]),"",IF(ISBLANK(Table1368[[#This Row],[Date revente]]),TODAY(),Table1368[[#This Row],[Date revente]])-Table1368[[#This Row],[Date réception Achat]])</f>
        <v>15</v>
      </c>
      <c r="W15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50" s="135">
        <f>IF(Table1368[[#This Row],[Prix de revente]]="","",Table1368[[#This Row],[Prix de revente]]-Table1368[[#This Row],[Prix total Achat]])</f>
        <v>53.25</v>
      </c>
      <c r="Y150" s="138">
        <f>IF(Table1368[[#This Row],[Prix de revente]]="","",(Table1368[[#This Row],[Prix de revente]]/Table1368[[#This Row],[Prix total Achat]]))</f>
        <v>4.380952380952381</v>
      </c>
      <c r="Z150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150" s="139">
        <f>IF(ISBLANK(Table1368[[#This Row],[Date relisting]]),"",IF(ISBLANK(Table1368[[#This Row],[Date relisting]]),TODAY(),Table1368[[#This Row],[Date relisting]])-Table1368[[#This Row],[Date réception Achat]])</f>
        <v>6</v>
      </c>
      <c r="AB150" s="139">
        <f>IF(ISBLANK(Table1368[[#This Row],[Date revente]]),"",IF(ISBLANK(Table1368[[#This Row],[Date revente]]),TODAY(),Table1368[[#This Row],[Date revente]])-Table1368[[#This Row],[Date relisting]])</f>
        <v>9</v>
      </c>
      <c r="AC150" s="139">
        <f>IF(ISBLANK(Table1368[[#This Row],[Date revente]]),"",IF(ISBLANK(Table1368[[#This Row],[Date revente]]),TODAY(),Table1368[[#This Row],[Date revente]])-Table1368[[#This Row],[Date réception Achat]])</f>
        <v>15</v>
      </c>
      <c r="AD150" s="139">
        <f>IF(ISBLANK(Table1368[[#This Row],[Date revente]]),"",IF(ISBLANK(Table1368[[#This Row],[Date revente]]),TODAY(),Table1368[[#This Row],[Date revente]])-Table1368[[#This Row],[Date achat]])</f>
        <v>27</v>
      </c>
    </row>
    <row r="151" ht="15" customHeight="1" spans="1:30" x14ac:dyDescent="0.25">
      <c r="A151" s="134">
        <v>46105</v>
      </c>
      <c r="B151" s="152" t="s">
        <v>496</v>
      </c>
      <c r="C151" s="134" t="s">
        <v>497</v>
      </c>
      <c r="D151" s="127" t="s">
        <v>498</v>
      </c>
      <c r="E151" s="127"/>
      <c r="F151" s="127"/>
      <c r="G151" s="134" t="s">
        <v>202</v>
      </c>
      <c r="H151" s="127" t="s">
        <v>499</v>
      </c>
      <c r="I151" s="134" t="s">
        <v>165</v>
      </c>
      <c r="J151" s="134" t="s">
        <v>157</v>
      </c>
      <c r="K151" s="135">
        <v>16.5</v>
      </c>
      <c r="L151" s="135">
        <f>Table1368[[#This Row],[Prix total Achat]]-Table1368[[#This Row],[Prix article]]</f>
        <v>18.36</v>
      </c>
      <c r="M151" s="135">
        <v>34.86</v>
      </c>
      <c r="N151" s="134">
        <v>46119</v>
      </c>
      <c r="O151" s="136">
        <f>(Table1368[[#This Row],[Prix total Achat]]*2)</f>
        <v>69.72</v>
      </c>
      <c r="P151" s="136">
        <f>Table1368[[#This Row],[Prix Min voulu (x2 )]]*1.2</f>
        <v>83.664</v>
      </c>
      <c r="Q151" s="134">
        <v>46120</v>
      </c>
      <c r="R151" s="134">
        <v>46126</v>
      </c>
      <c r="S151" s="135">
        <v>125</v>
      </c>
      <c r="T151" s="134" t="s">
        <v>160</v>
      </c>
      <c r="U151" s="134" t="s">
        <v>157</v>
      </c>
      <c r="V151" s="137">
        <f>IF(ISBLANK(Table1368[[#This Row],[Date réception Achat]]),"",IF(ISBLANK(Table1368[[#This Row],[Date revente]]),TODAY(),Table1368[[#This Row],[Date revente]])-Table1368[[#This Row],[Date réception Achat]])</f>
        <v>7</v>
      </c>
      <c r="W15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51" s="135">
        <f>IF(Table1368[[#This Row],[Prix de revente]]="","",Table1368[[#This Row],[Prix de revente]]-Table1368[[#This Row],[Prix total Achat]])</f>
        <v>90.14</v>
      </c>
      <c r="Y151" s="138">
        <f>IF(Table1368[[#This Row],[Prix de revente]]="","",(Table1368[[#This Row],[Prix de revente]]/Table1368[[#This Row],[Prix total Achat]]))</f>
        <v>3.5857716580608145</v>
      </c>
      <c r="Z151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151" s="139">
        <f>IF(ISBLANK(Table1368[[#This Row],[Date relisting]]),"",IF(ISBLANK(Table1368[[#This Row],[Date relisting]]),TODAY(),Table1368[[#This Row],[Date relisting]])-Table1368[[#This Row],[Date réception Achat]])</f>
        <v>1</v>
      </c>
      <c r="AB151" s="139">
        <f>IF(ISBLANK(Table1368[[#This Row],[Date revente]]),"",IF(ISBLANK(Table1368[[#This Row],[Date revente]]),TODAY(),Table1368[[#This Row],[Date revente]])-Table1368[[#This Row],[Date relisting]])</f>
        <v>6</v>
      </c>
      <c r="AC151" s="139">
        <f>IF(ISBLANK(Table1368[[#This Row],[Date revente]]),"",IF(ISBLANK(Table1368[[#This Row],[Date revente]]),TODAY(),Table1368[[#This Row],[Date revente]])-Table1368[[#This Row],[Date réception Achat]])</f>
        <v>7</v>
      </c>
      <c r="AD151" s="139">
        <f>IF(ISBLANK(Table1368[[#This Row],[Date revente]]),"",IF(ISBLANK(Table1368[[#This Row],[Date revente]]),TODAY(),Table1368[[#This Row],[Date revente]])-Table1368[[#This Row],[Date achat]])</f>
        <v>21</v>
      </c>
    </row>
    <row r="152" spans="1:30" x14ac:dyDescent="0.25">
      <c r="A152" s="134">
        <v>46105</v>
      </c>
      <c r="B152" s="153" t="s">
        <v>500</v>
      </c>
      <c r="C152" s="134" t="s">
        <v>501</v>
      </c>
      <c r="D152" s="127" t="s">
        <v>498</v>
      </c>
      <c r="E152" s="127"/>
      <c r="F152" s="127"/>
      <c r="G152" s="134" t="s">
        <v>502</v>
      </c>
      <c r="H152" s="127" t="s">
        <v>174</v>
      </c>
      <c r="I152" s="134" t="s">
        <v>165</v>
      </c>
      <c r="J152" s="134" t="s">
        <v>157</v>
      </c>
      <c r="K152" s="135">
        <v>30.5525</v>
      </c>
      <c r="L152" s="135">
        <f>Table1368[[#This Row],[Prix total Achat]]-Table1368[[#This Row],[Prix article]]</f>
        <v>18.354785714285715</v>
      </c>
      <c r="M152" s="135">
        <v>48.90728571428571</v>
      </c>
      <c r="N152" s="134">
        <v>46119</v>
      </c>
      <c r="O152" s="136">
        <f>(Table1368[[#This Row],[Prix total Achat]]*2)</f>
        <v>97.81457142857143</v>
      </c>
      <c r="P152" s="136">
        <f>Table1368[[#This Row],[Prix Min voulu (x2 )]]*1.2</f>
        <v>117.37748571428571</v>
      </c>
      <c r="Q152" s="134">
        <v>46121</v>
      </c>
      <c r="R152" s="134"/>
      <c r="S152" s="135"/>
      <c r="T152" s="134"/>
      <c r="U152" s="134" t="s">
        <v>157</v>
      </c>
      <c r="V152" s="137">
        <f>IF(ISBLANK(Table1368[[#This Row],[Date réception Achat]]),"",IF(ISBLANK(Table1368[[#This Row],[Date revente]]),TODAY(),Table1368[[#This Row],[Date revente]])-Table1368[[#This Row],[Date réception Achat]])</f>
        <v>184</v>
      </c>
      <c r="W15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52" s="135">
        <f>IF(Table1368[[#This Row],[Prix de revente]]="","",Table1368[[#This Row],[Prix de revente]]-Table1368[[#This Row],[Prix total Achat]])</f>
      </c>
      <c r="Y152" s="138">
        <f>IF(Table1368[[#This Row],[Prix de revente]]="","",(Table1368[[#This Row],[Prix de revente]]/Table1368[[#This Row],[Prix total Achat]]))</f>
      </c>
      <c r="Z152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152" s="139">
        <f>IF(ISBLANK(Table1368[[#This Row],[Date relisting]]),"",IF(ISBLANK(Table1368[[#This Row],[Date relisting]]),TODAY(),Table1368[[#This Row],[Date relisting]])-Table1368[[#This Row],[Date réception Achat]])</f>
        <v>2</v>
      </c>
      <c r="AB152" s="139">
        <f>IF(ISBLANK(Table1368[[#This Row],[Date revente]]),"",IF(ISBLANK(Table1368[[#This Row],[Date revente]]),TODAY(),Table1368[[#This Row],[Date revente]])-Table1368[[#This Row],[Date relisting]])</f>
      </c>
      <c r="AC152" s="139">
        <f>IF(ISBLANK(Table1368[[#This Row],[Date revente]]),"",IF(ISBLANK(Table1368[[#This Row],[Date revente]]),TODAY(),Table1368[[#This Row],[Date revente]])-Table1368[[#This Row],[Date réception Achat]])</f>
      </c>
      <c r="AD152" s="139">
        <f>IF(ISBLANK(Table1368[[#This Row],[Date revente]]),"",IF(ISBLANK(Table1368[[#This Row],[Date revente]]),TODAY(),Table1368[[#This Row],[Date revente]])-Table1368[[#This Row],[Date achat]])</f>
      </c>
    </row>
    <row r="153" spans="1:30" x14ac:dyDescent="0.25">
      <c r="A153" s="134">
        <v>46105</v>
      </c>
      <c r="B153" s="141" t="s">
        <v>503</v>
      </c>
      <c r="C153" s="134" t="s">
        <v>504</v>
      </c>
      <c r="D153" s="127" t="s">
        <v>498</v>
      </c>
      <c r="E153" s="127"/>
      <c r="F153" s="127"/>
      <c r="G153" s="134" t="s">
        <v>173</v>
      </c>
      <c r="H153" s="127" t="s">
        <v>174</v>
      </c>
      <c r="I153" s="134" t="s">
        <v>165</v>
      </c>
      <c r="J153" s="134" t="s">
        <v>157</v>
      </c>
      <c r="K153" s="135">
        <v>24.75</v>
      </c>
      <c r="L153" s="135">
        <f>Table1368[[#This Row],[Prix total Achat]]-Table1368[[#This Row],[Prix article]]</f>
        <v>18.35478571428571</v>
      </c>
      <c r="M153" s="135">
        <v>43.10478571428571</v>
      </c>
      <c r="N153" s="134">
        <v>46119</v>
      </c>
      <c r="O153" s="136">
        <f>(Table1368[[#This Row],[Prix total Achat]]*2)</f>
        <v>86.20957142857142</v>
      </c>
      <c r="P153" s="136">
        <f>Table1368[[#This Row],[Prix Min voulu (x2 )]]*1.2</f>
        <v>103.45148571428571</v>
      </c>
      <c r="Q153" s="134">
        <v>46121</v>
      </c>
      <c r="R153" s="134"/>
      <c r="S153" s="135"/>
      <c r="T153" s="134"/>
      <c r="U153" s="134" t="s">
        <v>157</v>
      </c>
      <c r="V153" s="137">
        <f>IF(ISBLANK(Table1368[[#This Row],[Date réception Achat]]),"",IF(ISBLANK(Table1368[[#This Row],[Date revente]]),TODAY(),Table1368[[#This Row],[Date revente]])-Table1368[[#This Row],[Date réception Achat]])</f>
        <v>184</v>
      </c>
      <c r="W15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53" s="135">
        <f>IF(Table1368[[#This Row],[Prix de revente]]="","",Table1368[[#This Row],[Prix de revente]]-Table1368[[#This Row],[Prix total Achat]])</f>
      </c>
      <c r="Y153" s="138">
        <f>IF(Table1368[[#This Row],[Prix de revente]]="","",(Table1368[[#This Row],[Prix de revente]]/Table1368[[#This Row],[Prix total Achat]]))</f>
      </c>
      <c r="Z153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153" s="139">
        <f>IF(ISBLANK(Table1368[[#This Row],[Date relisting]]),"",IF(ISBLANK(Table1368[[#This Row],[Date relisting]]),TODAY(),Table1368[[#This Row],[Date relisting]])-Table1368[[#This Row],[Date réception Achat]])</f>
        <v>2</v>
      </c>
      <c r="AB153" s="139">
        <f>IF(ISBLANK(Table1368[[#This Row],[Date revente]]),"",IF(ISBLANK(Table1368[[#This Row],[Date revente]]),TODAY(),Table1368[[#This Row],[Date revente]])-Table1368[[#This Row],[Date relisting]])</f>
      </c>
      <c r="AC153" s="139">
        <f>IF(ISBLANK(Table1368[[#This Row],[Date revente]]),"",IF(ISBLANK(Table1368[[#This Row],[Date revente]]),TODAY(),Table1368[[#This Row],[Date revente]])-Table1368[[#This Row],[Date réception Achat]])</f>
      </c>
      <c r="AD153" s="139">
        <f>IF(ISBLANK(Table1368[[#This Row],[Date revente]]),"",IF(ISBLANK(Table1368[[#This Row],[Date revente]]),TODAY(),Table1368[[#This Row],[Date revente]])-Table1368[[#This Row],[Date achat]])</f>
      </c>
    </row>
    <row r="154" ht="15" customHeight="1" spans="1:30" x14ac:dyDescent="0.25">
      <c r="A154" s="134">
        <v>46105</v>
      </c>
      <c r="B154" s="152" t="s">
        <v>505</v>
      </c>
      <c r="C154" s="134" t="s">
        <v>506</v>
      </c>
      <c r="D154" s="127" t="s">
        <v>498</v>
      </c>
      <c r="E154" s="127"/>
      <c r="F154" s="127"/>
      <c r="G154" s="134" t="s">
        <v>163</v>
      </c>
      <c r="H154" s="127" t="s">
        <v>178</v>
      </c>
      <c r="I154" s="134" t="s">
        <v>165</v>
      </c>
      <c r="J154" s="134" t="s">
        <v>157</v>
      </c>
      <c r="K154" s="135">
        <v>23.65</v>
      </c>
      <c r="L154" s="135">
        <f>Table1368[[#This Row],[Prix total Achat]]-Table1368[[#This Row],[Prix article]]</f>
        <v>18.35478571428572</v>
      </c>
      <c r="M154" s="135">
        <v>42.00478571428572</v>
      </c>
      <c r="N154" s="134">
        <v>46119</v>
      </c>
      <c r="O154" s="136">
        <f>(Table1368[[#This Row],[Prix total Achat]]*2)</f>
        <v>84.00957142857143</v>
      </c>
      <c r="P154" s="136">
        <f>Table1368[[#This Row],[Prix Min voulu (x2 )]]*1.2</f>
        <v>100.81148571428572</v>
      </c>
      <c r="Q154" s="134">
        <v>46121</v>
      </c>
      <c r="R154" s="134">
        <v>46212</v>
      </c>
      <c r="S154" s="135">
        <v>67.55</v>
      </c>
      <c r="T154" s="134" t="s">
        <v>160</v>
      </c>
      <c r="U154" s="134" t="s">
        <v>189</v>
      </c>
      <c r="V154" s="137">
        <f>IF(ISBLANK(Table1368[[#This Row],[Date réception Achat]]),"",IF(ISBLANK(Table1368[[#This Row],[Date revente]]),TODAY(),Table1368[[#This Row],[Date revente]])-Table1368[[#This Row],[Date réception Achat]])</f>
        <v>93</v>
      </c>
      <c r="W15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54" s="135">
        <f>IF(Table1368[[#This Row],[Prix de revente]]="","",Table1368[[#This Row],[Prix de revente]]-Table1368[[#This Row],[Prix total Achat]])</f>
        <v>25.54521428571428</v>
      </c>
      <c r="Y154" s="138">
        <f>IF(Table1368[[#This Row],[Prix de revente]]="","",(Table1368[[#This Row],[Prix de revente]]/Table1368[[#This Row],[Prix total Achat]]))</f>
        <v>1.608150091741247</v>
      </c>
      <c r="Z154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154" s="139">
        <f>IF(ISBLANK(Table1368[[#This Row],[Date relisting]]),"",IF(ISBLANK(Table1368[[#This Row],[Date relisting]]),TODAY(),Table1368[[#This Row],[Date relisting]])-Table1368[[#This Row],[Date réception Achat]])</f>
        <v>2</v>
      </c>
      <c r="AB154" s="139">
        <f>IF(ISBLANK(Table1368[[#This Row],[Date revente]]),"",IF(ISBLANK(Table1368[[#This Row],[Date revente]]),TODAY(),Table1368[[#This Row],[Date revente]])-Table1368[[#This Row],[Date relisting]])</f>
        <v>91</v>
      </c>
      <c r="AC154" s="139">
        <f>IF(ISBLANK(Table1368[[#This Row],[Date revente]]),"",IF(ISBLANK(Table1368[[#This Row],[Date revente]]),TODAY(),Table1368[[#This Row],[Date revente]])-Table1368[[#This Row],[Date réception Achat]])</f>
        <v>93</v>
      </c>
      <c r="AD154" s="139">
        <f>IF(ISBLANK(Table1368[[#This Row],[Date revente]]),"",IF(ISBLANK(Table1368[[#This Row],[Date revente]]),TODAY(),Table1368[[#This Row],[Date revente]])-Table1368[[#This Row],[Date achat]])</f>
        <v>107</v>
      </c>
    </row>
    <row r="155" ht="15" customHeight="1" spans="1:30" x14ac:dyDescent="0.25">
      <c r="A155" s="134">
        <v>46105</v>
      </c>
      <c r="B155" s="154" t="s">
        <v>507</v>
      </c>
      <c r="C155" s="134" t="s">
        <v>508</v>
      </c>
      <c r="D155" s="127" t="s">
        <v>498</v>
      </c>
      <c r="E155" s="127"/>
      <c r="F155" s="127"/>
      <c r="G155" s="134" t="s">
        <v>509</v>
      </c>
      <c r="H155" s="127" t="s">
        <v>174</v>
      </c>
      <c r="I155" s="134" t="s">
        <v>165</v>
      </c>
      <c r="J155" s="134" t="s">
        <v>157</v>
      </c>
      <c r="K155" s="135">
        <v>17.599999999999998</v>
      </c>
      <c r="L155" s="135">
        <f>Table1368[[#This Row],[Prix total Achat]]-Table1368[[#This Row],[Prix article]]</f>
        <v>18.354785714285715</v>
      </c>
      <c r="M155" s="135">
        <v>35.95478571428571</v>
      </c>
      <c r="N155" s="134">
        <v>46119</v>
      </c>
      <c r="O155" s="136">
        <f>(Table1368[[#This Row],[Prix total Achat]]*2)</f>
        <v>71.90957142857143</v>
      </c>
      <c r="P155" s="136">
        <f>Table1368[[#This Row],[Prix Min voulu (x2 )]]*1.2</f>
        <v>86.29148571428571</v>
      </c>
      <c r="Q155" s="134">
        <v>46121</v>
      </c>
      <c r="R155" s="134">
        <v>46163</v>
      </c>
      <c r="S155" s="135">
        <v>75</v>
      </c>
      <c r="T155" s="134" t="s">
        <v>160</v>
      </c>
      <c r="U155" s="134" t="s">
        <v>157</v>
      </c>
      <c r="V155" s="137">
        <f>IF(ISBLANK(Table1368[[#This Row],[Date réception Achat]]),"",IF(ISBLANK(Table1368[[#This Row],[Date revente]]),TODAY(),Table1368[[#This Row],[Date revente]])-Table1368[[#This Row],[Date réception Achat]])</f>
        <v>44</v>
      </c>
      <c r="W15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55" s="135">
        <f>IF(Table1368[[#This Row],[Prix de revente]]="","",Table1368[[#This Row],[Prix de revente]]-Table1368[[#This Row],[Prix total Achat]])</f>
        <v>39.04521428571429</v>
      </c>
      <c r="Y155" s="138">
        <f>IF(Table1368[[#This Row],[Prix de revente]]="","",(Table1368[[#This Row],[Prix de revente]]/Table1368[[#This Row],[Prix total Achat]]))</f>
        <v>2.0859531912103892</v>
      </c>
      <c r="Z155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155" s="139">
        <f>IF(ISBLANK(Table1368[[#This Row],[Date relisting]]),"",IF(ISBLANK(Table1368[[#This Row],[Date relisting]]),TODAY(),Table1368[[#This Row],[Date relisting]])-Table1368[[#This Row],[Date réception Achat]])</f>
        <v>2</v>
      </c>
      <c r="AB155" s="139">
        <f>IF(ISBLANK(Table1368[[#This Row],[Date revente]]),"",IF(ISBLANK(Table1368[[#This Row],[Date revente]]),TODAY(),Table1368[[#This Row],[Date revente]])-Table1368[[#This Row],[Date relisting]])</f>
        <v>42</v>
      </c>
      <c r="AC155" s="139">
        <f>IF(ISBLANK(Table1368[[#This Row],[Date revente]]),"",IF(ISBLANK(Table1368[[#This Row],[Date revente]]),TODAY(),Table1368[[#This Row],[Date revente]])-Table1368[[#This Row],[Date réception Achat]])</f>
        <v>44</v>
      </c>
      <c r="AD155" s="139">
        <f>IF(ISBLANK(Table1368[[#This Row],[Date revente]]),"",IF(ISBLANK(Table1368[[#This Row],[Date revente]]),TODAY(),Table1368[[#This Row],[Date revente]])-Table1368[[#This Row],[Date achat]])</f>
        <v>58</v>
      </c>
    </row>
    <row r="156" spans="1:30" x14ac:dyDescent="0.25">
      <c r="A156" s="134">
        <v>46105</v>
      </c>
      <c r="B156" s="153" t="s">
        <v>510</v>
      </c>
      <c r="C156" s="134" t="s">
        <v>511</v>
      </c>
      <c r="D156" s="127" t="s">
        <v>498</v>
      </c>
      <c r="E156" s="127"/>
      <c r="F156" s="127"/>
      <c r="G156" s="134" t="s">
        <v>509</v>
      </c>
      <c r="H156" s="127" t="s">
        <v>178</v>
      </c>
      <c r="I156" s="134" t="s">
        <v>165</v>
      </c>
      <c r="J156" s="134" t="s">
        <v>157</v>
      </c>
      <c r="K156" s="135">
        <v>18.535</v>
      </c>
      <c r="L156" s="135">
        <f>Table1368[[#This Row],[Prix total Achat]]-Table1368[[#This Row],[Prix article]]</f>
        <v>18.354785714285715</v>
      </c>
      <c r="M156" s="135">
        <v>36.889785714285715</v>
      </c>
      <c r="N156" s="134">
        <v>46119</v>
      </c>
      <c r="O156" s="136">
        <f>(Table1368[[#This Row],[Prix total Achat]]*2)</f>
        <v>73.77957142857143</v>
      </c>
      <c r="P156" s="136">
        <f>Table1368[[#This Row],[Prix Min voulu (x2 )]]*1.2</f>
        <v>88.53548571428571</v>
      </c>
      <c r="Q156" s="134">
        <v>46122</v>
      </c>
      <c r="R156" s="134">
        <v>46188</v>
      </c>
      <c r="S156" s="135">
        <v>65</v>
      </c>
      <c r="T156" s="134" t="s">
        <v>160</v>
      </c>
      <c r="U156" s="134" t="s">
        <v>157</v>
      </c>
      <c r="V156" s="137">
        <f>IF(ISBLANK(Table1368[[#This Row],[Date réception Achat]]),"",IF(ISBLANK(Table1368[[#This Row],[Date revente]]),TODAY(),Table1368[[#This Row],[Date revente]])-Table1368[[#This Row],[Date réception Achat]])</f>
        <v>69</v>
      </c>
      <c r="W15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56" s="135">
        <f>IF(Table1368[[#This Row],[Prix de revente]]="","",Table1368[[#This Row],[Prix de revente]]-Table1368[[#This Row],[Prix total Achat]])</f>
        <v>28.110214285714285</v>
      </c>
      <c r="Y156" s="138">
        <f>IF(Table1368[[#This Row],[Prix de revente]]="","",(Table1368[[#This Row],[Prix de revente]]/Table1368[[#This Row],[Prix total Achat]]))</f>
        <v>1.7620053557217734</v>
      </c>
      <c r="Z156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156" s="139">
        <f>IF(ISBLANK(Table1368[[#This Row],[Date relisting]]),"",IF(ISBLANK(Table1368[[#This Row],[Date relisting]]),TODAY(),Table1368[[#This Row],[Date relisting]])-Table1368[[#This Row],[Date réception Achat]])</f>
        <v>3</v>
      </c>
      <c r="AB156" s="139">
        <f>IF(ISBLANK(Table1368[[#This Row],[Date revente]]),"",IF(ISBLANK(Table1368[[#This Row],[Date revente]]),TODAY(),Table1368[[#This Row],[Date revente]])-Table1368[[#This Row],[Date relisting]])</f>
        <v>66</v>
      </c>
      <c r="AC156" s="139">
        <f>IF(ISBLANK(Table1368[[#This Row],[Date revente]]),"",IF(ISBLANK(Table1368[[#This Row],[Date revente]]),TODAY(),Table1368[[#This Row],[Date revente]])-Table1368[[#This Row],[Date réception Achat]])</f>
        <v>69</v>
      </c>
      <c r="AD156" s="139">
        <f>IF(ISBLANK(Table1368[[#This Row],[Date revente]]),"",IF(ISBLANK(Table1368[[#This Row],[Date revente]]),TODAY(),Table1368[[#This Row],[Date revente]])-Table1368[[#This Row],[Date achat]])</f>
        <v>83</v>
      </c>
    </row>
    <row r="157" spans="1:30" x14ac:dyDescent="0.25">
      <c r="A157" s="134">
        <v>46105</v>
      </c>
      <c r="B157" s="141" t="s">
        <v>512</v>
      </c>
      <c r="C157" s="134" t="s">
        <v>513</v>
      </c>
      <c r="D157" s="127" t="s">
        <v>498</v>
      </c>
      <c r="E157" s="127"/>
      <c r="F157" s="127"/>
      <c r="G157" s="134" t="s">
        <v>163</v>
      </c>
      <c r="H157" s="127" t="s">
        <v>174</v>
      </c>
      <c r="I157" s="134" t="s">
        <v>165</v>
      </c>
      <c r="J157" s="134" t="s">
        <v>157</v>
      </c>
      <c r="K157" s="135">
        <v>16.445</v>
      </c>
      <c r="L157" s="135">
        <f>Table1368[[#This Row],[Prix total Achat]]-Table1368[[#This Row],[Prix article]]</f>
        <v>18.35478571428572</v>
      </c>
      <c r="M157" s="135">
        <v>34.79978571428572</v>
      </c>
      <c r="N157" s="134">
        <v>46119</v>
      </c>
      <c r="O157" s="136">
        <f>(Table1368[[#This Row],[Prix total Achat]]*2)</f>
        <v>69.59957142857144</v>
      </c>
      <c r="P157" s="136">
        <f>Table1368[[#This Row],[Prix Min voulu (x2 )]]*1.2</f>
        <v>83.51948571428572</v>
      </c>
      <c r="Q157" s="134">
        <v>46122</v>
      </c>
      <c r="R157" s="134">
        <v>46122</v>
      </c>
      <c r="S157" s="135">
        <v>80</v>
      </c>
      <c r="T157" s="134" t="s">
        <v>160</v>
      </c>
      <c r="U157" s="134" t="s">
        <v>157</v>
      </c>
      <c r="V157" s="137">
        <f>IF(ISBLANK(Table1368[[#This Row],[Date réception Achat]]),"",IF(ISBLANK(Table1368[[#This Row],[Date revente]]),TODAY(),Table1368[[#This Row],[Date revente]])-Table1368[[#This Row],[Date réception Achat]])</f>
        <v>3</v>
      </c>
      <c r="W15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57" s="135">
        <f>IF(Table1368[[#This Row],[Prix de revente]]="","",Table1368[[#This Row],[Prix de revente]]-Table1368[[#This Row],[Prix total Achat]])</f>
        <v>45.20021428571428</v>
      </c>
      <c r="Y157" s="138">
        <f>IF(Table1368[[#This Row],[Prix de revente]]="","",(Table1368[[#This Row],[Prix de revente]]/Table1368[[#This Row],[Prix total Achat]]))</f>
        <v>2.2988647302836425</v>
      </c>
      <c r="Z157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157" s="139">
        <f>IF(ISBLANK(Table1368[[#This Row],[Date relisting]]),"",IF(ISBLANK(Table1368[[#This Row],[Date relisting]]),TODAY(),Table1368[[#This Row],[Date relisting]])-Table1368[[#This Row],[Date réception Achat]])</f>
        <v>3</v>
      </c>
      <c r="AB157" s="139">
        <f>IF(ISBLANK(Table1368[[#This Row],[Date revente]]),"",IF(ISBLANK(Table1368[[#This Row],[Date revente]]),TODAY(),Table1368[[#This Row],[Date revente]])-Table1368[[#This Row],[Date relisting]])</f>
        <v>0</v>
      </c>
      <c r="AC157" s="139">
        <f>IF(ISBLANK(Table1368[[#This Row],[Date revente]]),"",IF(ISBLANK(Table1368[[#This Row],[Date revente]]),TODAY(),Table1368[[#This Row],[Date revente]])-Table1368[[#This Row],[Date réception Achat]])</f>
        <v>3</v>
      </c>
      <c r="AD157" s="139">
        <f>IF(ISBLANK(Table1368[[#This Row],[Date revente]]),"",IF(ISBLANK(Table1368[[#This Row],[Date revente]]),TODAY(),Table1368[[#This Row],[Date revente]])-Table1368[[#This Row],[Date achat]])</f>
        <v>17</v>
      </c>
    </row>
    <row r="158" spans="1:30" x14ac:dyDescent="0.25">
      <c r="A158" s="134">
        <v>46110</v>
      </c>
      <c r="B158" s="141" t="s">
        <v>514</v>
      </c>
      <c r="C158" s="134" t="s">
        <v>515</v>
      </c>
      <c r="D158" s="127" t="s">
        <v>157</v>
      </c>
      <c r="E158" s="127"/>
      <c r="F158" s="127"/>
      <c r="G158" s="134" t="s">
        <v>228</v>
      </c>
      <c r="H158" s="127" t="s">
        <v>164</v>
      </c>
      <c r="I158" s="134" t="s">
        <v>160</v>
      </c>
      <c r="J158" s="134" t="s">
        <v>157</v>
      </c>
      <c r="K158" s="135">
        <v>27</v>
      </c>
      <c r="L158" s="135">
        <f>Table1368[[#This Row],[Prix total Achat]]-Table1368[[#This Row],[Prix article]]</f>
        <v>6.700000000000003</v>
      </c>
      <c r="M158" s="135">
        <v>33.7</v>
      </c>
      <c r="N158" s="134">
        <v>46115</v>
      </c>
      <c r="O158" s="136">
        <f>(Table1368[[#This Row],[Prix total Achat]]*2)</f>
        <v>67.4</v>
      </c>
      <c r="P158" s="136">
        <f>Table1368[[#This Row],[Prix Min voulu (x2 )]]*1.2</f>
        <v>80.88000000000001</v>
      </c>
      <c r="Q158" s="134">
        <v>46120</v>
      </c>
      <c r="R158" s="134">
        <v>46120</v>
      </c>
      <c r="S158" s="135">
        <v>110</v>
      </c>
      <c r="T158" s="134" t="s">
        <v>160</v>
      </c>
      <c r="U158" s="134" t="s">
        <v>157</v>
      </c>
      <c r="V158" s="137">
        <f>IF(ISBLANK(Table1368[[#This Row],[Date réception Achat]]),"",IF(ISBLANK(Table1368[[#This Row],[Date revente]]),TODAY(),Table1368[[#This Row],[Date revente]])-Table1368[[#This Row],[Date réception Achat]])</f>
        <v>5</v>
      </c>
      <c r="W15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58" s="135">
        <f>IF(Table1368[[#This Row],[Prix de revente]]="","",Table1368[[#This Row],[Prix de revente]]-Table1368[[#This Row],[Prix total Achat]])</f>
        <v>76.3</v>
      </c>
      <c r="Y158" s="138">
        <f>IF(Table1368[[#This Row],[Prix de revente]]="","",(Table1368[[#This Row],[Prix de revente]]/Table1368[[#This Row],[Prix total Achat]]))</f>
        <v>3.264094955489614</v>
      </c>
      <c r="Z158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158" s="139">
        <f>IF(ISBLANK(Table1368[[#This Row],[Date relisting]]),"",IF(ISBLANK(Table1368[[#This Row],[Date relisting]]),TODAY(),Table1368[[#This Row],[Date relisting]])-Table1368[[#This Row],[Date réception Achat]])</f>
        <v>5</v>
      </c>
      <c r="AB158" s="139">
        <f>IF(ISBLANK(Table1368[[#This Row],[Date revente]]),"",IF(ISBLANK(Table1368[[#This Row],[Date revente]]),TODAY(),Table1368[[#This Row],[Date revente]])-Table1368[[#This Row],[Date relisting]])</f>
        <v>0</v>
      </c>
      <c r="AC158" s="139">
        <f>IF(ISBLANK(Table1368[[#This Row],[Date revente]]),"",IF(ISBLANK(Table1368[[#This Row],[Date revente]]),TODAY(),Table1368[[#This Row],[Date revente]])-Table1368[[#This Row],[Date réception Achat]])</f>
        <v>5</v>
      </c>
      <c r="AD158" s="139">
        <f>IF(ISBLANK(Table1368[[#This Row],[Date revente]]),"",IF(ISBLANK(Table1368[[#This Row],[Date revente]]),TODAY(),Table1368[[#This Row],[Date revente]])-Table1368[[#This Row],[Date achat]])</f>
        <v>10</v>
      </c>
    </row>
    <row r="159" spans="1:30" x14ac:dyDescent="0.25">
      <c r="A159" s="134">
        <v>46114</v>
      </c>
      <c r="B159" s="148" t="s">
        <v>516</v>
      </c>
      <c r="C159" s="134" t="s">
        <v>517</v>
      </c>
      <c r="D159" s="127" t="s">
        <v>518</v>
      </c>
      <c r="E159" s="127"/>
      <c r="F159" s="127"/>
      <c r="G159" s="134" t="s">
        <v>163</v>
      </c>
      <c r="H159" s="127" t="s">
        <v>194</v>
      </c>
      <c r="I159" s="134" t="s">
        <v>165</v>
      </c>
      <c r="J159" s="134" t="s">
        <v>157</v>
      </c>
      <c r="K159" s="135">
        <v>11</v>
      </c>
      <c r="L159" s="135">
        <f>Table1368[[#This Row],[Prix total Achat]]-Table1368[[#This Row],[Prix article]]</f>
        <v>13.017311454545457</v>
      </c>
      <c r="M159" s="135">
        <v>24.017311454545457</v>
      </c>
      <c r="N159" s="134">
        <v>46192</v>
      </c>
      <c r="O159" s="136">
        <f>(Table1368[[#This Row],[Prix total Achat]]*2)</f>
        <v>48.03462290909091</v>
      </c>
      <c r="P159" s="136">
        <f>Table1368[[#This Row],[Prix Min voulu (x2 )]]*1.2</f>
        <v>57.64154749090909</v>
      </c>
      <c r="Q159" s="134">
        <v>46196</v>
      </c>
      <c r="R159" s="134"/>
      <c r="S159" s="135"/>
      <c r="T159" s="134"/>
      <c r="U159" s="134" t="s">
        <v>157</v>
      </c>
      <c r="V159" s="137">
        <f>IF(ISBLANK(Table1368[[#This Row],[Date réception Achat]]),"",IF(ISBLANK(Table1368[[#This Row],[Date revente]]),TODAY(),Table1368[[#This Row],[Date revente]])-Table1368[[#This Row],[Date réception Achat]])</f>
        <v>111</v>
      </c>
      <c r="W15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59" s="135">
        <f>IF(Table1368[[#This Row],[Prix de revente]]="","",Table1368[[#This Row],[Prix de revente]]-Table1368[[#This Row],[Prix total Achat]])</f>
      </c>
      <c r="Y159" s="138">
        <f>IF(Table1368[[#This Row],[Prix de revente]]="","",(Table1368[[#This Row],[Prix de revente]]/Table1368[[#This Row],[Prix total Achat]]))</f>
      </c>
      <c r="Z159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59" s="139">
        <f>IF(ISBLANK(Table1368[[#This Row],[Date relisting]]),"",IF(ISBLANK(Table1368[[#This Row],[Date relisting]]),TODAY(),Table1368[[#This Row],[Date relisting]])-Table1368[[#This Row],[Date réception Achat]])</f>
        <v>4</v>
      </c>
      <c r="AB159" s="139">
        <f>IF(ISBLANK(Table1368[[#This Row],[Date revente]]),"",IF(ISBLANK(Table1368[[#This Row],[Date revente]]),TODAY(),Table1368[[#This Row],[Date revente]])-Table1368[[#This Row],[Date relisting]])</f>
      </c>
      <c r="AC159" s="139">
        <f>IF(ISBLANK(Table1368[[#This Row],[Date revente]]),"",IF(ISBLANK(Table1368[[#This Row],[Date revente]]),TODAY(),Table1368[[#This Row],[Date revente]])-Table1368[[#This Row],[Date réception Achat]])</f>
      </c>
      <c r="AD159" s="139">
        <f>IF(ISBLANK(Table1368[[#This Row],[Date revente]]),"",IF(ISBLANK(Table1368[[#This Row],[Date revente]]),TODAY(),Table1368[[#This Row],[Date revente]])-Table1368[[#This Row],[Date achat]])</f>
      </c>
    </row>
    <row r="160" spans="1:30" x14ac:dyDescent="0.25">
      <c r="A160" s="134">
        <v>46114</v>
      </c>
      <c r="B160" s="148" t="s">
        <v>519</v>
      </c>
      <c r="C160" s="134" t="s">
        <v>520</v>
      </c>
      <c r="D160" s="127" t="s">
        <v>518</v>
      </c>
      <c r="E160" s="127"/>
      <c r="F160" s="127"/>
      <c r="G160" s="134" t="s">
        <v>163</v>
      </c>
      <c r="H160" s="127" t="s">
        <v>174</v>
      </c>
      <c r="I160" s="134" t="s">
        <v>165</v>
      </c>
      <c r="J160" s="134" t="s">
        <v>157</v>
      </c>
      <c r="K160" s="135">
        <v>17.599999999999998</v>
      </c>
      <c r="L160" s="135">
        <f>Table1368[[#This Row],[Prix total Achat]]-Table1368[[#This Row],[Prix article]]</f>
        <v>13.017311454545453</v>
      </c>
      <c r="M160" s="135">
        <v>30.61731145454545</v>
      </c>
      <c r="N160" s="134">
        <v>46192</v>
      </c>
      <c r="O160" s="136">
        <f>(Table1368[[#This Row],[Prix total Achat]]*2)</f>
        <v>61.2346229090909</v>
      </c>
      <c r="P160" s="136">
        <f>Table1368[[#This Row],[Prix Min voulu (x2 )]]*1.2</f>
        <v>73.48154749090908</v>
      </c>
      <c r="Q160" s="134">
        <v>46197</v>
      </c>
      <c r="R160" s="134"/>
      <c r="S160" s="135"/>
      <c r="T160" s="134"/>
      <c r="U160" s="134" t="s">
        <v>157</v>
      </c>
      <c r="V160" s="137">
        <f>IF(ISBLANK(Table1368[[#This Row],[Date réception Achat]]),"",IF(ISBLANK(Table1368[[#This Row],[Date revente]]),TODAY(),Table1368[[#This Row],[Date revente]])-Table1368[[#This Row],[Date réception Achat]])</f>
        <v>111</v>
      </c>
      <c r="W16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60" s="135">
        <f>IF(Table1368[[#This Row],[Prix de revente]]="","",Table1368[[#This Row],[Prix de revente]]-Table1368[[#This Row],[Prix total Achat]])</f>
      </c>
      <c r="Y160" s="138">
        <f>IF(Table1368[[#This Row],[Prix de revente]]="","",(Table1368[[#This Row],[Prix de revente]]/Table1368[[#This Row],[Prix total Achat]]))</f>
      </c>
      <c r="Z160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0" s="139">
        <f>IF(ISBLANK(Table1368[[#This Row],[Date relisting]]),"",IF(ISBLANK(Table1368[[#This Row],[Date relisting]]),TODAY(),Table1368[[#This Row],[Date relisting]])-Table1368[[#This Row],[Date réception Achat]])</f>
        <v>5</v>
      </c>
      <c r="AB160" s="139">
        <f>IF(ISBLANK(Table1368[[#This Row],[Date revente]]),"",IF(ISBLANK(Table1368[[#This Row],[Date revente]]),TODAY(),Table1368[[#This Row],[Date revente]])-Table1368[[#This Row],[Date relisting]])</f>
      </c>
      <c r="AC160" s="139">
        <f>IF(ISBLANK(Table1368[[#This Row],[Date revente]]),"",IF(ISBLANK(Table1368[[#This Row],[Date revente]]),TODAY(),Table1368[[#This Row],[Date revente]])-Table1368[[#This Row],[Date réception Achat]])</f>
      </c>
      <c r="AD160" s="139">
        <f>IF(ISBLANK(Table1368[[#This Row],[Date revente]]),"",IF(ISBLANK(Table1368[[#This Row],[Date revente]]),TODAY(),Table1368[[#This Row],[Date revente]])-Table1368[[#This Row],[Date achat]])</f>
      </c>
    </row>
    <row r="161" spans="1:30" x14ac:dyDescent="0.25">
      <c r="A161" s="134">
        <v>46114</v>
      </c>
      <c r="B161" s="148" t="s">
        <v>521</v>
      </c>
      <c r="C161" s="134" t="s">
        <v>522</v>
      </c>
      <c r="D161" s="127" t="s">
        <v>518</v>
      </c>
      <c r="E161" s="127"/>
      <c r="F161" s="127"/>
      <c r="G161" s="134" t="s">
        <v>163</v>
      </c>
      <c r="H161" s="127" t="s">
        <v>194</v>
      </c>
      <c r="I161" s="134" t="s">
        <v>165</v>
      </c>
      <c r="J161" s="134" t="s">
        <v>157</v>
      </c>
      <c r="K161" s="135">
        <v>10.383999999999999</v>
      </c>
      <c r="L161" s="135">
        <f>Table1368[[#This Row],[Prix total Achat]]-Table1368[[#This Row],[Prix article]]</f>
        <v>13.017311454545455</v>
      </c>
      <c r="M161" s="135">
        <v>23.401311454545453</v>
      </c>
      <c r="N161" s="134">
        <v>46192</v>
      </c>
      <c r="O161" s="136">
        <f>(Table1368[[#This Row],[Prix total Achat]]*2)</f>
        <v>46.80262290909091</v>
      </c>
      <c r="P161" s="136">
        <f>Table1368[[#This Row],[Prix Min voulu (x2 )]]*1.2</f>
        <v>56.16314749090909</v>
      </c>
      <c r="Q161" s="134">
        <v>46197</v>
      </c>
      <c r="R161" s="134">
        <v>46199</v>
      </c>
      <c r="S161" s="135">
        <v>65</v>
      </c>
      <c r="T161" s="134" t="s">
        <v>160</v>
      </c>
      <c r="U161" s="134" t="s">
        <v>157</v>
      </c>
      <c r="V161" s="137">
        <f>IF(ISBLANK(Table1368[[#This Row],[Date réception Achat]]),"",IF(ISBLANK(Table1368[[#This Row],[Date revente]]),TODAY(),Table1368[[#This Row],[Date revente]])-Table1368[[#This Row],[Date réception Achat]])</f>
        <v>7</v>
      </c>
      <c r="W16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61" s="135">
        <f>IF(Table1368[[#This Row],[Prix de revente]]="","",Table1368[[#This Row],[Prix de revente]]-Table1368[[#This Row],[Prix total Achat]])</f>
        <v>41.59868854545455</v>
      </c>
      <c r="Y161" s="138">
        <f>IF(Table1368[[#This Row],[Prix de revente]]="","",(Table1368[[#This Row],[Prix de revente]]/Table1368[[#This Row],[Prix total Achat]]))</f>
        <v>2.7776221057634123</v>
      </c>
      <c r="Z161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1" s="139">
        <f>IF(ISBLANK(Table1368[[#This Row],[Date relisting]]),"",IF(ISBLANK(Table1368[[#This Row],[Date relisting]]),TODAY(),Table1368[[#This Row],[Date relisting]])-Table1368[[#This Row],[Date réception Achat]])</f>
        <v>5</v>
      </c>
      <c r="AB161" s="139">
        <f>IF(ISBLANK(Table1368[[#This Row],[Date revente]]),"",IF(ISBLANK(Table1368[[#This Row],[Date revente]]),TODAY(),Table1368[[#This Row],[Date revente]])-Table1368[[#This Row],[Date relisting]])</f>
        <v>2</v>
      </c>
      <c r="AC161" s="139">
        <f>IF(ISBLANK(Table1368[[#This Row],[Date revente]]),"",IF(ISBLANK(Table1368[[#This Row],[Date revente]]),TODAY(),Table1368[[#This Row],[Date revente]])-Table1368[[#This Row],[Date réception Achat]])</f>
        <v>7</v>
      </c>
      <c r="AD161" s="139">
        <f>IF(ISBLANK(Table1368[[#This Row],[Date revente]]),"",IF(ISBLANK(Table1368[[#This Row],[Date revente]]),TODAY(),Table1368[[#This Row],[Date revente]])-Table1368[[#This Row],[Date achat]])</f>
        <v>85</v>
      </c>
    </row>
    <row r="162" spans="1:30" x14ac:dyDescent="0.25">
      <c r="A162" s="134">
        <v>46114</v>
      </c>
      <c r="B162" s="148" t="s">
        <v>523</v>
      </c>
      <c r="C162" s="134" t="s">
        <v>524</v>
      </c>
      <c r="D162" s="127" t="s">
        <v>518</v>
      </c>
      <c r="E162" s="127"/>
      <c r="F162" s="127"/>
      <c r="G162" s="134" t="s">
        <v>163</v>
      </c>
      <c r="H162" s="127" t="s">
        <v>194</v>
      </c>
      <c r="I162" s="134" t="s">
        <v>165</v>
      </c>
      <c r="J162" s="134" t="s">
        <v>157</v>
      </c>
      <c r="K162" s="135">
        <v>11</v>
      </c>
      <c r="L162" s="135">
        <f>Table1368[[#This Row],[Prix total Achat]]-Table1368[[#This Row],[Prix article]]</f>
        <v>13.017311454545457</v>
      </c>
      <c r="M162" s="135">
        <v>24.017311454545457</v>
      </c>
      <c r="N162" s="134">
        <v>46192</v>
      </c>
      <c r="O162" s="136">
        <f>(Table1368[[#This Row],[Prix total Achat]]*2)</f>
        <v>48.03462290909091</v>
      </c>
      <c r="P162" s="136">
        <f>Table1368[[#This Row],[Prix Min voulu (x2 )]]*1.2</f>
        <v>57.64154749090909</v>
      </c>
      <c r="Q162" s="134">
        <v>46196</v>
      </c>
      <c r="R162" s="134">
        <v>46232</v>
      </c>
      <c r="S162" s="135">
        <v>60</v>
      </c>
      <c r="T162" s="134" t="s">
        <v>160</v>
      </c>
      <c r="U162" s="134" t="s">
        <v>157</v>
      </c>
      <c r="V162" s="137">
        <f>IF(ISBLANK(Table1368[[#This Row],[Date réception Achat]]),"",IF(ISBLANK(Table1368[[#This Row],[Date revente]]),TODAY(),Table1368[[#This Row],[Date revente]])-Table1368[[#This Row],[Date réception Achat]])</f>
        <v>40</v>
      </c>
      <c r="W16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62" s="135">
        <f>IF(Table1368[[#This Row],[Prix de revente]]="","",Table1368[[#This Row],[Prix de revente]]-Table1368[[#This Row],[Prix total Achat]])</f>
        <v>35.98268854545454</v>
      </c>
      <c r="Y162" s="138">
        <f>IF(Table1368[[#This Row],[Prix de revente]]="","",(Table1368[[#This Row],[Prix de revente]]/Table1368[[#This Row],[Prix total Achat]]))</f>
        <v>2.498198023269776</v>
      </c>
      <c r="Z162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2" s="139">
        <f>IF(ISBLANK(Table1368[[#This Row],[Date relisting]]),"",IF(ISBLANK(Table1368[[#This Row],[Date relisting]]),TODAY(),Table1368[[#This Row],[Date relisting]])-Table1368[[#This Row],[Date réception Achat]])</f>
        <v>4</v>
      </c>
      <c r="AB162" s="139">
        <f>IF(ISBLANK(Table1368[[#This Row],[Date revente]]),"",IF(ISBLANK(Table1368[[#This Row],[Date revente]]),TODAY(),Table1368[[#This Row],[Date revente]])-Table1368[[#This Row],[Date relisting]])</f>
        <v>36</v>
      </c>
      <c r="AC162" s="139">
        <f>IF(ISBLANK(Table1368[[#This Row],[Date revente]]),"",IF(ISBLANK(Table1368[[#This Row],[Date revente]]),TODAY(),Table1368[[#This Row],[Date revente]])-Table1368[[#This Row],[Date réception Achat]])</f>
        <v>40</v>
      </c>
      <c r="AD162" s="139">
        <f>IF(ISBLANK(Table1368[[#This Row],[Date revente]]),"",IF(ISBLANK(Table1368[[#This Row],[Date revente]]),TODAY(),Table1368[[#This Row],[Date revente]])-Table1368[[#This Row],[Date achat]])</f>
        <v>118</v>
      </c>
    </row>
    <row r="163" spans="1:30" x14ac:dyDescent="0.25">
      <c r="A163" s="134">
        <v>46114</v>
      </c>
      <c r="B163" s="148" t="s">
        <v>525</v>
      </c>
      <c r="C163" s="134" t="s">
        <v>526</v>
      </c>
      <c r="D163" s="127" t="s">
        <v>518</v>
      </c>
      <c r="E163" s="127"/>
      <c r="F163" s="127"/>
      <c r="G163" s="134" t="s">
        <v>392</v>
      </c>
      <c r="H163" s="127" t="s">
        <v>174</v>
      </c>
      <c r="I163" s="134" t="s">
        <v>165</v>
      </c>
      <c r="J163" s="134" t="s">
        <v>157</v>
      </c>
      <c r="K163" s="135">
        <v>14.024999999999999</v>
      </c>
      <c r="L163" s="135">
        <f>Table1368[[#This Row],[Prix total Achat]]-Table1368[[#This Row],[Prix article]]</f>
        <v>13.017311454545457</v>
      </c>
      <c r="M163" s="135">
        <v>27.042311454545455</v>
      </c>
      <c r="N163" s="134">
        <v>46192</v>
      </c>
      <c r="O163" s="136">
        <f>(Table1368[[#This Row],[Prix total Achat]]*2)</f>
        <v>54.08462290909091</v>
      </c>
      <c r="P163" s="136">
        <f>Table1368[[#This Row],[Prix Min voulu (x2 )]]*1.2</f>
        <v>64.9015474909091</v>
      </c>
      <c r="Q163" s="134">
        <v>46198</v>
      </c>
      <c r="R163" s="134"/>
      <c r="S163" s="135"/>
      <c r="T163" s="134"/>
      <c r="U163" s="134" t="s">
        <v>157</v>
      </c>
      <c r="V163" s="137">
        <f>IF(ISBLANK(Table1368[[#This Row],[Date réception Achat]]),"",IF(ISBLANK(Table1368[[#This Row],[Date revente]]),TODAY(),Table1368[[#This Row],[Date revente]])-Table1368[[#This Row],[Date réception Achat]])</f>
        <v>111</v>
      </c>
      <c r="W16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63" s="135">
        <f>IF(Table1368[[#This Row],[Prix de revente]]="","",Table1368[[#This Row],[Prix de revente]]-Table1368[[#This Row],[Prix total Achat]])</f>
      </c>
      <c r="Y163" s="138">
        <f>IF(Table1368[[#This Row],[Prix de revente]]="","",(Table1368[[#This Row],[Prix de revente]]/Table1368[[#This Row],[Prix total Achat]]))</f>
      </c>
      <c r="Z163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3" s="139">
        <f>IF(ISBLANK(Table1368[[#This Row],[Date relisting]]),"",IF(ISBLANK(Table1368[[#This Row],[Date relisting]]),TODAY(),Table1368[[#This Row],[Date relisting]])-Table1368[[#This Row],[Date réception Achat]])</f>
        <v>6</v>
      </c>
      <c r="AB163" s="139">
        <f>IF(ISBLANK(Table1368[[#This Row],[Date revente]]),"",IF(ISBLANK(Table1368[[#This Row],[Date revente]]),TODAY(),Table1368[[#This Row],[Date revente]])-Table1368[[#This Row],[Date relisting]])</f>
      </c>
      <c r="AC163" s="139">
        <f>IF(ISBLANK(Table1368[[#This Row],[Date revente]]),"",IF(ISBLANK(Table1368[[#This Row],[Date revente]]),TODAY(),Table1368[[#This Row],[Date revente]])-Table1368[[#This Row],[Date réception Achat]])</f>
      </c>
      <c r="AD163" s="139">
        <f>IF(ISBLANK(Table1368[[#This Row],[Date revente]]),"",IF(ISBLANK(Table1368[[#This Row],[Date revente]]),TODAY(),Table1368[[#This Row],[Date revente]])-Table1368[[#This Row],[Date achat]])</f>
      </c>
    </row>
    <row r="164" spans="1:30" x14ac:dyDescent="0.25">
      <c r="A164" s="134">
        <v>46114</v>
      </c>
      <c r="B164" s="148" t="s">
        <v>527</v>
      </c>
      <c r="C164" s="134" t="s">
        <v>528</v>
      </c>
      <c r="D164" s="127" t="s">
        <v>518</v>
      </c>
      <c r="E164" s="127"/>
      <c r="F164" s="127"/>
      <c r="G164" s="134" t="s">
        <v>173</v>
      </c>
      <c r="H164" s="127" t="s">
        <v>174</v>
      </c>
      <c r="I164" s="134" t="s">
        <v>165</v>
      </c>
      <c r="J164" s="134" t="s">
        <v>157</v>
      </c>
      <c r="K164" s="135">
        <v>16.5</v>
      </c>
      <c r="L164" s="135">
        <f>Table1368[[#This Row],[Prix total Achat]]-Table1368[[#This Row],[Prix article]]</f>
        <v>13.017311454545457</v>
      </c>
      <c r="M164" s="135">
        <v>29.517311454545457</v>
      </c>
      <c r="N164" s="134">
        <v>46192</v>
      </c>
      <c r="O164" s="136">
        <f>(Table1368[[#This Row],[Prix total Achat]]*2)</f>
        <v>59.03462290909091</v>
      </c>
      <c r="P164" s="136">
        <f>Table1368[[#This Row],[Prix Min voulu (x2 )]]*1.2</f>
        <v>70.8415474909091</v>
      </c>
      <c r="Q164" s="134">
        <v>46198</v>
      </c>
      <c r="R164" s="134"/>
      <c r="S164" s="135"/>
      <c r="T164" s="134"/>
      <c r="U164" s="134" t="s">
        <v>157</v>
      </c>
      <c r="V164" s="137">
        <f>IF(ISBLANK(Table1368[[#This Row],[Date réception Achat]]),"",IF(ISBLANK(Table1368[[#This Row],[Date revente]]),TODAY(),Table1368[[#This Row],[Date revente]])-Table1368[[#This Row],[Date réception Achat]])</f>
        <v>111</v>
      </c>
      <c r="W16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64" s="135">
        <f>IF(Table1368[[#This Row],[Prix de revente]]="","",Table1368[[#This Row],[Prix de revente]]-Table1368[[#This Row],[Prix total Achat]])</f>
      </c>
      <c r="Y164" s="138">
        <f>IF(Table1368[[#This Row],[Prix de revente]]="","",(Table1368[[#This Row],[Prix de revente]]/Table1368[[#This Row],[Prix total Achat]]))</f>
      </c>
      <c r="Z164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4" s="139">
        <f>IF(ISBLANK(Table1368[[#This Row],[Date relisting]]),"",IF(ISBLANK(Table1368[[#This Row],[Date relisting]]),TODAY(),Table1368[[#This Row],[Date relisting]])-Table1368[[#This Row],[Date réception Achat]])</f>
        <v>6</v>
      </c>
      <c r="AB164" s="139">
        <f>IF(ISBLANK(Table1368[[#This Row],[Date revente]]),"",IF(ISBLANK(Table1368[[#This Row],[Date revente]]),TODAY(),Table1368[[#This Row],[Date revente]])-Table1368[[#This Row],[Date relisting]])</f>
      </c>
      <c r="AC164" s="139">
        <f>IF(ISBLANK(Table1368[[#This Row],[Date revente]]),"",IF(ISBLANK(Table1368[[#This Row],[Date revente]]),TODAY(),Table1368[[#This Row],[Date revente]])-Table1368[[#This Row],[Date réception Achat]])</f>
      </c>
      <c r="AD164" s="139">
        <f>IF(ISBLANK(Table1368[[#This Row],[Date revente]]),"",IF(ISBLANK(Table1368[[#This Row],[Date revente]]),TODAY(),Table1368[[#This Row],[Date revente]])-Table1368[[#This Row],[Date achat]])</f>
      </c>
    </row>
    <row r="165" spans="1:30" x14ac:dyDescent="0.25">
      <c r="A165" s="134">
        <v>46114</v>
      </c>
      <c r="B165" s="148" t="s">
        <v>529</v>
      </c>
      <c r="C165" s="134" t="s">
        <v>530</v>
      </c>
      <c r="D165" s="127" t="s">
        <v>518</v>
      </c>
      <c r="E165" s="127"/>
      <c r="F165" s="127"/>
      <c r="G165" s="134" t="s">
        <v>163</v>
      </c>
      <c r="H165" s="127" t="s">
        <v>174</v>
      </c>
      <c r="I165" s="134" t="s">
        <v>165</v>
      </c>
      <c r="J165" s="134" t="s">
        <v>157</v>
      </c>
      <c r="K165" s="135">
        <v>15.399999999999999</v>
      </c>
      <c r="L165" s="135">
        <f>Table1368[[#This Row],[Prix total Achat]]-Table1368[[#This Row],[Prix article]]</f>
        <v>13.017311454545457</v>
      </c>
      <c r="M165" s="135">
        <v>28.417311454545455</v>
      </c>
      <c r="N165" s="134">
        <v>46192</v>
      </c>
      <c r="O165" s="136">
        <f>(Table1368[[#This Row],[Prix total Achat]]*2)</f>
        <v>56.83462290909091</v>
      </c>
      <c r="P165" s="136">
        <f>Table1368[[#This Row],[Prix Min voulu (x2 )]]*1.2</f>
        <v>68.20154749090909</v>
      </c>
      <c r="Q165" s="134">
        <v>46196</v>
      </c>
      <c r="R165" s="134"/>
      <c r="S165" s="135"/>
      <c r="T165" s="134"/>
      <c r="U165" s="134" t="s">
        <v>157</v>
      </c>
      <c r="V165" s="137">
        <f>IF(ISBLANK(Table1368[[#This Row],[Date réception Achat]]),"",IF(ISBLANK(Table1368[[#This Row],[Date revente]]),TODAY(),Table1368[[#This Row],[Date revente]])-Table1368[[#This Row],[Date réception Achat]])</f>
        <v>111</v>
      </c>
      <c r="W16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65" s="135">
        <f>IF(Table1368[[#This Row],[Prix de revente]]="","",Table1368[[#This Row],[Prix de revente]]-Table1368[[#This Row],[Prix total Achat]])</f>
      </c>
      <c r="Y165" s="138">
        <f>IF(Table1368[[#This Row],[Prix de revente]]="","",(Table1368[[#This Row],[Prix de revente]]/Table1368[[#This Row],[Prix total Achat]]))</f>
      </c>
      <c r="Z165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5" s="139">
        <f>IF(ISBLANK(Table1368[[#This Row],[Date relisting]]),"",IF(ISBLANK(Table1368[[#This Row],[Date relisting]]),TODAY(),Table1368[[#This Row],[Date relisting]])-Table1368[[#This Row],[Date réception Achat]])</f>
        <v>4</v>
      </c>
      <c r="AB165" s="139">
        <f>IF(ISBLANK(Table1368[[#This Row],[Date revente]]),"",IF(ISBLANK(Table1368[[#This Row],[Date revente]]),TODAY(),Table1368[[#This Row],[Date revente]])-Table1368[[#This Row],[Date relisting]])</f>
      </c>
      <c r="AC165" s="139">
        <f>IF(ISBLANK(Table1368[[#This Row],[Date revente]]),"",IF(ISBLANK(Table1368[[#This Row],[Date revente]]),TODAY(),Table1368[[#This Row],[Date revente]])-Table1368[[#This Row],[Date réception Achat]])</f>
      </c>
      <c r="AD165" s="139">
        <f>IF(ISBLANK(Table1368[[#This Row],[Date revente]]),"",IF(ISBLANK(Table1368[[#This Row],[Date revente]]),TODAY(),Table1368[[#This Row],[Date revente]])-Table1368[[#This Row],[Date achat]])</f>
      </c>
    </row>
    <row r="166" spans="1:30" x14ac:dyDescent="0.25">
      <c r="A166" s="134">
        <v>46114</v>
      </c>
      <c r="B166" s="148" t="s">
        <v>531</v>
      </c>
      <c r="C166" s="134" t="s">
        <v>532</v>
      </c>
      <c r="D166" s="127" t="s">
        <v>518</v>
      </c>
      <c r="E166" s="127"/>
      <c r="F166" s="127"/>
      <c r="G166" s="134" t="s">
        <v>163</v>
      </c>
      <c r="H166" s="127" t="s">
        <v>178</v>
      </c>
      <c r="I166" s="134" t="s">
        <v>165</v>
      </c>
      <c r="J166" s="134" t="s">
        <v>157</v>
      </c>
      <c r="K166" s="135">
        <v>14.85</v>
      </c>
      <c r="L166" s="135">
        <f>Table1368[[#This Row],[Prix total Achat]]-Table1368[[#This Row],[Prix article]]</f>
        <v>13.017311454545455</v>
      </c>
      <c r="M166" s="135">
        <v>27.867311454545455</v>
      </c>
      <c r="N166" s="134">
        <v>46192</v>
      </c>
      <c r="O166" s="136">
        <f>(Table1368[[#This Row],[Prix total Achat]]*2)</f>
        <v>55.73462290909091</v>
      </c>
      <c r="P166" s="136">
        <f>Table1368[[#This Row],[Prix Min voulu (x2 )]]*1.2</f>
        <v>66.88154749090909</v>
      </c>
      <c r="Q166" s="134">
        <v>46198</v>
      </c>
      <c r="R166" s="134">
        <v>46234</v>
      </c>
      <c r="S166" s="135">
        <v>55</v>
      </c>
      <c r="T166" s="134" t="s">
        <v>160</v>
      </c>
      <c r="U166" s="134" t="s">
        <v>157</v>
      </c>
      <c r="V166" s="137">
        <f>IF(ISBLANK(Table1368[[#This Row],[Date réception Achat]]),"",IF(ISBLANK(Table1368[[#This Row],[Date revente]]),TODAY(),Table1368[[#This Row],[Date revente]])-Table1368[[#This Row],[Date réception Achat]])</f>
        <v>42</v>
      </c>
      <c r="W16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66" s="135">
        <f>IF(Table1368[[#This Row],[Prix de revente]]="","",Table1368[[#This Row],[Prix de revente]]-Table1368[[#This Row],[Prix total Achat]])</f>
        <v>27.132688545454545</v>
      </c>
      <c r="Y166" s="138">
        <f>IF(Table1368[[#This Row],[Prix de revente]]="","",(Table1368[[#This Row],[Prix de revente]]/Table1368[[#This Row],[Prix total Achat]]))</f>
        <v>1.9736385438441324</v>
      </c>
      <c r="Z166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6" s="139">
        <f>IF(ISBLANK(Table1368[[#This Row],[Date relisting]]),"",IF(ISBLANK(Table1368[[#This Row],[Date relisting]]),TODAY(),Table1368[[#This Row],[Date relisting]])-Table1368[[#This Row],[Date réception Achat]])</f>
        <v>6</v>
      </c>
      <c r="AB166" s="139">
        <f>IF(ISBLANK(Table1368[[#This Row],[Date revente]]),"",IF(ISBLANK(Table1368[[#This Row],[Date revente]]),TODAY(),Table1368[[#This Row],[Date revente]])-Table1368[[#This Row],[Date relisting]])</f>
        <v>36</v>
      </c>
      <c r="AC166" s="139">
        <f>IF(ISBLANK(Table1368[[#This Row],[Date revente]]),"",IF(ISBLANK(Table1368[[#This Row],[Date revente]]),TODAY(),Table1368[[#This Row],[Date revente]])-Table1368[[#This Row],[Date réception Achat]])</f>
        <v>42</v>
      </c>
      <c r="AD166" s="139">
        <f>IF(ISBLANK(Table1368[[#This Row],[Date revente]]),"",IF(ISBLANK(Table1368[[#This Row],[Date revente]]),TODAY(),Table1368[[#This Row],[Date revente]])-Table1368[[#This Row],[Date achat]])</f>
        <v>120</v>
      </c>
    </row>
    <row r="167" spans="1:30" x14ac:dyDescent="0.25">
      <c r="A167" s="134">
        <v>46114</v>
      </c>
      <c r="B167" s="148" t="s">
        <v>533</v>
      </c>
      <c r="C167" s="134" t="s">
        <v>534</v>
      </c>
      <c r="D167" s="127" t="s">
        <v>518</v>
      </c>
      <c r="E167" s="127"/>
      <c r="F167" s="127"/>
      <c r="G167" s="134" t="s">
        <v>163</v>
      </c>
      <c r="H167" s="127" t="s">
        <v>174</v>
      </c>
      <c r="I167" s="134" t="s">
        <v>165</v>
      </c>
      <c r="J167" s="134" t="s">
        <v>157</v>
      </c>
      <c r="K167" s="135">
        <v>9.35</v>
      </c>
      <c r="L167" s="135">
        <f>Table1368[[#This Row],[Prix total Achat]]-Table1368[[#This Row],[Prix article]]</f>
        <v>13.017311454545455</v>
      </c>
      <c r="M167" s="135">
        <v>22.367311454545455</v>
      </c>
      <c r="N167" s="134">
        <v>46192</v>
      </c>
      <c r="O167" s="136">
        <f>(Table1368[[#This Row],[Prix total Achat]]*2)</f>
        <v>44.73462290909091</v>
      </c>
      <c r="P167" s="136">
        <f>Table1368[[#This Row],[Prix Min voulu (x2 )]]*1.2</f>
        <v>53.68154749090909</v>
      </c>
      <c r="Q167" s="134">
        <v>46198</v>
      </c>
      <c r="R167" s="134"/>
      <c r="S167" s="135"/>
      <c r="T167" s="134"/>
      <c r="U167" s="134" t="s">
        <v>157</v>
      </c>
      <c r="V167" s="137">
        <f>IF(ISBLANK(Table1368[[#This Row],[Date réception Achat]]),"",IF(ISBLANK(Table1368[[#This Row],[Date revente]]),TODAY(),Table1368[[#This Row],[Date revente]])-Table1368[[#This Row],[Date réception Achat]])</f>
        <v>111</v>
      </c>
      <c r="W16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67" s="135">
        <f>IF(Table1368[[#This Row],[Prix de revente]]="","",Table1368[[#This Row],[Prix de revente]]-Table1368[[#This Row],[Prix total Achat]])</f>
      </c>
      <c r="Y167" s="138">
        <f>IF(Table1368[[#This Row],[Prix de revente]]="","",(Table1368[[#This Row],[Prix de revente]]/Table1368[[#This Row],[Prix total Achat]]))</f>
      </c>
      <c r="Z167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7" s="139">
        <f>IF(ISBLANK(Table1368[[#This Row],[Date relisting]]),"",IF(ISBLANK(Table1368[[#This Row],[Date relisting]]),TODAY(),Table1368[[#This Row],[Date relisting]])-Table1368[[#This Row],[Date réception Achat]])</f>
        <v>6</v>
      </c>
      <c r="AB167" s="139">
        <f>IF(ISBLANK(Table1368[[#This Row],[Date revente]]),"",IF(ISBLANK(Table1368[[#This Row],[Date revente]]),TODAY(),Table1368[[#This Row],[Date revente]])-Table1368[[#This Row],[Date relisting]])</f>
      </c>
      <c r="AC167" s="139">
        <f>IF(ISBLANK(Table1368[[#This Row],[Date revente]]),"",IF(ISBLANK(Table1368[[#This Row],[Date revente]]),TODAY(),Table1368[[#This Row],[Date revente]])-Table1368[[#This Row],[Date réception Achat]])</f>
      </c>
      <c r="AD167" s="139">
        <f>IF(ISBLANK(Table1368[[#This Row],[Date revente]]),"",IF(ISBLANK(Table1368[[#This Row],[Date revente]]),TODAY(),Table1368[[#This Row],[Date revente]])-Table1368[[#This Row],[Date achat]])</f>
      </c>
    </row>
    <row r="168" spans="1:30" x14ac:dyDescent="0.25">
      <c r="A168" s="134">
        <v>46114</v>
      </c>
      <c r="B168" s="148" t="s">
        <v>535</v>
      </c>
      <c r="C168" s="134" t="s">
        <v>536</v>
      </c>
      <c r="D168" s="127" t="s">
        <v>518</v>
      </c>
      <c r="E168" s="127"/>
      <c r="F168" s="127"/>
      <c r="G168" s="134" t="s">
        <v>163</v>
      </c>
      <c r="H168" s="127" t="s">
        <v>194</v>
      </c>
      <c r="I168" s="134" t="s">
        <v>165</v>
      </c>
      <c r="J168" s="134" t="s">
        <v>157</v>
      </c>
      <c r="K168" s="135">
        <v>11</v>
      </c>
      <c r="L168" s="135">
        <f>Table1368[[#This Row],[Prix total Achat]]-Table1368[[#This Row],[Prix article]]</f>
        <v>13.017311454545457</v>
      </c>
      <c r="M168" s="135">
        <v>24.017311454545457</v>
      </c>
      <c r="N168" s="134">
        <v>46192</v>
      </c>
      <c r="O168" s="136">
        <f>(Table1368[[#This Row],[Prix total Achat]]*2)</f>
        <v>48.03462290909091</v>
      </c>
      <c r="P168" s="136">
        <f>Table1368[[#This Row],[Prix Min voulu (x2 )]]*1.2</f>
        <v>57.64154749090909</v>
      </c>
      <c r="Q168" s="134">
        <v>46197</v>
      </c>
      <c r="R168" s="134"/>
      <c r="S168" s="135"/>
      <c r="T168" s="134"/>
      <c r="U168" s="134" t="s">
        <v>157</v>
      </c>
      <c r="V168" s="137">
        <f>IF(ISBLANK(Table1368[[#This Row],[Date réception Achat]]),"",IF(ISBLANK(Table1368[[#This Row],[Date revente]]),TODAY(),Table1368[[#This Row],[Date revente]])-Table1368[[#This Row],[Date réception Achat]])</f>
        <v>111</v>
      </c>
      <c r="W16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68" s="135">
        <f>IF(Table1368[[#This Row],[Prix de revente]]="","",Table1368[[#This Row],[Prix de revente]]-Table1368[[#This Row],[Prix total Achat]])</f>
      </c>
      <c r="Y168" s="138">
        <f>IF(Table1368[[#This Row],[Prix de revente]]="","",(Table1368[[#This Row],[Prix de revente]]/Table1368[[#This Row],[Prix total Achat]]))</f>
      </c>
      <c r="Z168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8" s="139">
        <f>IF(ISBLANK(Table1368[[#This Row],[Date relisting]]),"",IF(ISBLANK(Table1368[[#This Row],[Date relisting]]),TODAY(),Table1368[[#This Row],[Date relisting]])-Table1368[[#This Row],[Date réception Achat]])</f>
        <v>5</v>
      </c>
      <c r="AB168" s="139">
        <f>IF(ISBLANK(Table1368[[#This Row],[Date revente]]),"",IF(ISBLANK(Table1368[[#This Row],[Date revente]]),TODAY(),Table1368[[#This Row],[Date revente]])-Table1368[[#This Row],[Date relisting]])</f>
      </c>
      <c r="AC168" s="139">
        <f>IF(ISBLANK(Table1368[[#This Row],[Date revente]]),"",IF(ISBLANK(Table1368[[#This Row],[Date revente]]),TODAY(),Table1368[[#This Row],[Date revente]])-Table1368[[#This Row],[Date réception Achat]])</f>
      </c>
      <c r="AD168" s="139">
        <f>IF(ISBLANK(Table1368[[#This Row],[Date revente]]),"",IF(ISBLANK(Table1368[[#This Row],[Date revente]]),TODAY(),Table1368[[#This Row],[Date revente]])-Table1368[[#This Row],[Date achat]])</f>
      </c>
    </row>
    <row r="169" spans="1:30" x14ac:dyDescent="0.25">
      <c r="A169" s="134">
        <v>46114</v>
      </c>
      <c r="B169" s="148" t="s">
        <v>537</v>
      </c>
      <c r="C169" s="134" t="s">
        <v>538</v>
      </c>
      <c r="D169" s="127" t="s">
        <v>518</v>
      </c>
      <c r="E169" s="127"/>
      <c r="F169" s="127"/>
      <c r="G169" s="134" t="s">
        <v>378</v>
      </c>
      <c r="H169" s="127" t="s">
        <v>174</v>
      </c>
      <c r="I169" s="134" t="s">
        <v>165</v>
      </c>
      <c r="J169" s="134" t="s">
        <v>157</v>
      </c>
      <c r="K169" s="135">
        <v>16.4945</v>
      </c>
      <c r="L169" s="135">
        <f>Table1368[[#This Row],[Prix total Achat]]-Table1368[[#This Row],[Prix article]]</f>
        <v>13.017311454545453</v>
      </c>
      <c r="M169" s="135">
        <v>29.51181145454545</v>
      </c>
      <c r="N169" s="134">
        <v>46192</v>
      </c>
      <c r="O169" s="136">
        <f>(Table1368[[#This Row],[Prix total Achat]]*2)</f>
        <v>59.0236229090909</v>
      </c>
      <c r="P169" s="136">
        <f>Table1368[[#This Row],[Prix Min voulu (x2 )]]*1.2</f>
        <v>70.82834749090908</v>
      </c>
      <c r="Q169" s="134">
        <v>46197</v>
      </c>
      <c r="R169" s="134"/>
      <c r="S169" s="135"/>
      <c r="T169" s="134"/>
      <c r="U169" s="134" t="s">
        <v>157</v>
      </c>
      <c r="V169" s="137">
        <f>IF(ISBLANK(Table1368[[#This Row],[Date réception Achat]]),"",IF(ISBLANK(Table1368[[#This Row],[Date revente]]),TODAY(),Table1368[[#This Row],[Date revente]])-Table1368[[#This Row],[Date réception Achat]])</f>
        <v>111</v>
      </c>
      <c r="W16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69" s="135">
        <f>IF(Table1368[[#This Row],[Prix de revente]]="","",Table1368[[#This Row],[Prix de revente]]-Table1368[[#This Row],[Prix total Achat]])</f>
      </c>
      <c r="Y169" s="138">
        <f>IF(Table1368[[#This Row],[Prix de revente]]="","",(Table1368[[#This Row],[Prix de revente]]/Table1368[[#This Row],[Prix total Achat]]))</f>
      </c>
      <c r="Z169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169" s="139">
        <f>IF(ISBLANK(Table1368[[#This Row],[Date relisting]]),"",IF(ISBLANK(Table1368[[#This Row],[Date relisting]]),TODAY(),Table1368[[#This Row],[Date relisting]])-Table1368[[#This Row],[Date réception Achat]])</f>
        <v>5</v>
      </c>
      <c r="AB169" s="139">
        <f>IF(ISBLANK(Table1368[[#This Row],[Date revente]]),"",IF(ISBLANK(Table1368[[#This Row],[Date revente]]),TODAY(),Table1368[[#This Row],[Date revente]])-Table1368[[#This Row],[Date relisting]])</f>
      </c>
      <c r="AC169" s="139">
        <f>IF(ISBLANK(Table1368[[#This Row],[Date revente]]),"",IF(ISBLANK(Table1368[[#This Row],[Date revente]]),TODAY(),Table1368[[#This Row],[Date revente]])-Table1368[[#This Row],[Date réception Achat]])</f>
      </c>
      <c r="AD169" s="139">
        <f>IF(ISBLANK(Table1368[[#This Row],[Date revente]]),"",IF(ISBLANK(Table1368[[#This Row],[Date revente]]),TODAY(),Table1368[[#This Row],[Date revente]])-Table1368[[#This Row],[Date achat]])</f>
      </c>
    </row>
    <row r="170" spans="1:30" x14ac:dyDescent="0.25">
      <c r="A170" s="134">
        <v>46116</v>
      </c>
      <c r="B170" s="141" t="s">
        <v>168</v>
      </c>
      <c r="C170" s="134" t="s">
        <v>539</v>
      </c>
      <c r="D170" s="127" t="s">
        <v>540</v>
      </c>
      <c r="E170" s="127"/>
      <c r="F170" s="127"/>
      <c r="G170" s="134" t="s">
        <v>541</v>
      </c>
      <c r="H170" s="127" t="s">
        <v>164</v>
      </c>
      <c r="I170" s="134" t="s">
        <v>160</v>
      </c>
      <c r="J170" s="134" t="s">
        <v>157</v>
      </c>
      <c r="K170" s="135">
        <v>4</v>
      </c>
      <c r="L170" s="135">
        <f>Table1368[[#This Row],[Prix total Achat]]-Table1368[[#This Row],[Prix article]]</f>
        <v>3.7800000000000002</v>
      </c>
      <c r="M170" s="135">
        <v>7.78</v>
      </c>
      <c r="N170" s="134">
        <v>46126</v>
      </c>
      <c r="O170" s="136">
        <f>(Table1368[[#This Row],[Prix total Achat]]*2)</f>
        <v>15.56</v>
      </c>
      <c r="P170" s="136">
        <f>Table1368[[#This Row],[Prix Min voulu (x2 )]]*1.2</f>
        <v>18.672</v>
      </c>
      <c r="Q170" s="134">
        <v>46129</v>
      </c>
      <c r="R170" s="134">
        <v>46168</v>
      </c>
      <c r="S170" s="135">
        <v>30</v>
      </c>
      <c r="T170" s="134" t="s">
        <v>542</v>
      </c>
      <c r="U170" s="134" t="s">
        <v>157</v>
      </c>
      <c r="V170" s="137">
        <f>IF(ISBLANK(Table1368[[#This Row],[Date réception Achat]]),"",IF(ISBLANK(Table1368[[#This Row],[Date revente]]),TODAY(),Table1368[[#This Row],[Date revente]])-Table1368[[#This Row],[Date réception Achat]])</f>
        <v>42</v>
      </c>
      <c r="W17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0" s="135">
        <f>IF(Table1368[[#This Row],[Prix de revente]]="","",Table1368[[#This Row],[Prix de revente]]-Table1368[[#This Row],[Prix total Achat]])</f>
        <v>22.22</v>
      </c>
      <c r="Y170" s="138">
        <f>IF(Table1368[[#This Row],[Prix de revente]]="","",(Table1368[[#This Row],[Prix de revente]]/Table1368[[#This Row],[Prix total Achat]]))</f>
        <v>3.8560411311053984</v>
      </c>
      <c r="Z170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170" s="139">
        <f>IF(ISBLANK(Table1368[[#This Row],[Date relisting]]),"",IF(ISBLANK(Table1368[[#This Row],[Date relisting]]),TODAY(),Table1368[[#This Row],[Date relisting]])-Table1368[[#This Row],[Date réception Achat]])</f>
        <v>3</v>
      </c>
      <c r="AB170" s="139">
        <f>IF(ISBLANK(Table1368[[#This Row],[Date revente]]),"",IF(ISBLANK(Table1368[[#This Row],[Date revente]]),TODAY(),Table1368[[#This Row],[Date revente]])-Table1368[[#This Row],[Date relisting]])</f>
        <v>39</v>
      </c>
      <c r="AC170" s="139">
        <f>IF(ISBLANK(Table1368[[#This Row],[Date revente]]),"",IF(ISBLANK(Table1368[[#This Row],[Date revente]]),TODAY(),Table1368[[#This Row],[Date revente]])-Table1368[[#This Row],[Date réception Achat]])</f>
        <v>42</v>
      </c>
      <c r="AD170" s="139">
        <f>IF(ISBLANK(Table1368[[#This Row],[Date revente]]),"",IF(ISBLANK(Table1368[[#This Row],[Date revente]]),TODAY(),Table1368[[#This Row],[Date revente]])-Table1368[[#This Row],[Date achat]])</f>
        <v>52</v>
      </c>
    </row>
    <row r="171" spans="1:30" x14ac:dyDescent="0.25">
      <c r="A171" s="134">
        <v>46121</v>
      </c>
      <c r="B171" s="141" t="s">
        <v>543</v>
      </c>
      <c r="C171" s="134" t="s">
        <v>544</v>
      </c>
      <c r="D171" s="127" t="s">
        <v>545</v>
      </c>
      <c r="E171" s="127"/>
      <c r="F171" s="127"/>
      <c r="G171" s="134" t="s">
        <v>163</v>
      </c>
      <c r="H171" s="127" t="s">
        <v>174</v>
      </c>
      <c r="I171" s="134" t="s">
        <v>165</v>
      </c>
      <c r="J171" s="134" t="s">
        <v>157</v>
      </c>
      <c r="K171" s="135">
        <v>14.85</v>
      </c>
      <c r="L171" s="135">
        <f>Table1368[[#This Row],[Prix total Achat]]-Table1368[[#This Row],[Prix article]]</f>
        <v>19.579499999999996</v>
      </c>
      <c r="M171" s="135">
        <v>34.4295</v>
      </c>
      <c r="N171" s="134">
        <v>46127</v>
      </c>
      <c r="O171" s="136">
        <f>(Table1368[[#This Row],[Prix total Achat]]*2)</f>
        <v>68.859</v>
      </c>
      <c r="P171" s="136">
        <f>Table1368[[#This Row],[Prix Min voulu (x2 )]]*1.2</f>
        <v>82.6308</v>
      </c>
      <c r="Q171" s="134">
        <v>46129</v>
      </c>
      <c r="R171" s="134">
        <v>46129</v>
      </c>
      <c r="S171" s="135">
        <v>75</v>
      </c>
      <c r="T171" s="134" t="s">
        <v>160</v>
      </c>
      <c r="U171" s="134" t="s">
        <v>157</v>
      </c>
      <c r="V171" s="137">
        <f>IF(ISBLANK(Table1368[[#This Row],[Date réception Achat]]),"",IF(ISBLANK(Table1368[[#This Row],[Date revente]]),TODAY(),Table1368[[#This Row],[Date revente]])-Table1368[[#This Row],[Date réception Achat]])</f>
        <v>2</v>
      </c>
      <c r="W17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1" s="135">
        <f>IF(Table1368[[#This Row],[Prix de revente]]="","",Table1368[[#This Row],[Prix de revente]]-Table1368[[#This Row],[Prix total Achat]])</f>
        <v>40.5705</v>
      </c>
      <c r="Y171" s="138">
        <f>IF(Table1368[[#This Row],[Prix de revente]]="","",(Table1368[[#This Row],[Prix de revente]]/Table1368[[#This Row],[Prix total Achat]]))</f>
        <v>2.178364483945454</v>
      </c>
      <c r="Z171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71" s="139">
        <f>IF(ISBLANK(Table1368[[#This Row],[Date relisting]]),"",IF(ISBLANK(Table1368[[#This Row],[Date relisting]]),TODAY(),Table1368[[#This Row],[Date relisting]])-Table1368[[#This Row],[Date réception Achat]])</f>
        <v>2</v>
      </c>
      <c r="AB171" s="139">
        <f>IF(ISBLANK(Table1368[[#This Row],[Date revente]]),"",IF(ISBLANK(Table1368[[#This Row],[Date revente]]),TODAY(),Table1368[[#This Row],[Date revente]])-Table1368[[#This Row],[Date relisting]])</f>
        <v>0</v>
      </c>
      <c r="AC171" s="139">
        <f>IF(ISBLANK(Table1368[[#This Row],[Date revente]]),"",IF(ISBLANK(Table1368[[#This Row],[Date revente]]),TODAY(),Table1368[[#This Row],[Date revente]])-Table1368[[#This Row],[Date réception Achat]])</f>
        <v>2</v>
      </c>
      <c r="AD171" s="139">
        <f>IF(ISBLANK(Table1368[[#This Row],[Date revente]]),"",IF(ISBLANK(Table1368[[#This Row],[Date revente]]),TODAY(),Table1368[[#This Row],[Date revente]])-Table1368[[#This Row],[Date achat]])</f>
        <v>8</v>
      </c>
    </row>
    <row r="172" spans="1:30" x14ac:dyDescent="0.25">
      <c r="A172" s="134">
        <v>46121</v>
      </c>
      <c r="B172" s="141" t="s">
        <v>546</v>
      </c>
      <c r="C172" s="134" t="s">
        <v>547</v>
      </c>
      <c r="D172" s="127" t="s">
        <v>545</v>
      </c>
      <c r="E172" s="127"/>
      <c r="F172" s="127"/>
      <c r="G172" s="134" t="s">
        <v>378</v>
      </c>
      <c r="H172" s="127" t="s">
        <v>174</v>
      </c>
      <c r="I172" s="134" t="s">
        <v>165</v>
      </c>
      <c r="J172" s="134" t="s">
        <v>157</v>
      </c>
      <c r="K172" s="135">
        <v>13.75</v>
      </c>
      <c r="L172" s="135">
        <f>Table1368[[#This Row],[Prix total Achat]]-Table1368[[#This Row],[Prix article]]</f>
        <v>19.579499999999996</v>
      </c>
      <c r="M172" s="135">
        <v>33.329499999999996</v>
      </c>
      <c r="N172" s="134">
        <v>46127</v>
      </c>
      <c r="O172" s="136">
        <f>(Table1368[[#This Row],[Prix total Achat]]*2)</f>
        <v>66.65899999999999</v>
      </c>
      <c r="P172" s="136">
        <f>Table1368[[#This Row],[Prix Min voulu (x2 )]]*1.2</f>
        <v>79.9908</v>
      </c>
      <c r="Q172" s="134">
        <v>46128</v>
      </c>
      <c r="R172" s="134"/>
      <c r="S172" s="135"/>
      <c r="T172" s="134"/>
      <c r="U172" s="134" t="s">
        <v>157</v>
      </c>
      <c r="V172" s="137">
        <f>IF(ISBLANK(Table1368[[#This Row],[Date réception Achat]]),"",IF(ISBLANK(Table1368[[#This Row],[Date revente]]),TODAY(),Table1368[[#This Row],[Date revente]])-Table1368[[#This Row],[Date réception Achat]])</f>
        <v>176</v>
      </c>
      <c r="W17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72" s="135">
        <f>IF(Table1368[[#This Row],[Prix de revente]]="","",Table1368[[#This Row],[Prix de revente]]-Table1368[[#This Row],[Prix total Achat]])</f>
      </c>
      <c r="Y172" s="138">
        <f>IF(Table1368[[#This Row],[Prix de revente]]="","",(Table1368[[#This Row],[Prix de revente]]/Table1368[[#This Row],[Prix total Achat]]))</f>
      </c>
      <c r="Z172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72" s="139">
        <f>IF(ISBLANK(Table1368[[#This Row],[Date relisting]]),"",IF(ISBLANK(Table1368[[#This Row],[Date relisting]]),TODAY(),Table1368[[#This Row],[Date relisting]])-Table1368[[#This Row],[Date réception Achat]])</f>
        <v>1</v>
      </c>
      <c r="AB172" s="139">
        <f>IF(ISBLANK(Table1368[[#This Row],[Date revente]]),"",IF(ISBLANK(Table1368[[#This Row],[Date revente]]),TODAY(),Table1368[[#This Row],[Date revente]])-Table1368[[#This Row],[Date relisting]])</f>
      </c>
      <c r="AC172" s="139">
        <f>IF(ISBLANK(Table1368[[#This Row],[Date revente]]),"",IF(ISBLANK(Table1368[[#This Row],[Date revente]]),TODAY(),Table1368[[#This Row],[Date revente]])-Table1368[[#This Row],[Date réception Achat]])</f>
      </c>
      <c r="AD172" s="139">
        <f>IF(ISBLANK(Table1368[[#This Row],[Date revente]]),"",IF(ISBLANK(Table1368[[#This Row],[Date revente]]),TODAY(),Table1368[[#This Row],[Date revente]])-Table1368[[#This Row],[Date achat]])</f>
      </c>
    </row>
    <row r="173" spans="1:30" x14ac:dyDescent="0.25">
      <c r="A173" s="134">
        <v>46121</v>
      </c>
      <c r="B173" s="141" t="s">
        <v>548</v>
      </c>
      <c r="C173" s="134" t="s">
        <v>549</v>
      </c>
      <c r="D173" s="127" t="s">
        <v>545</v>
      </c>
      <c r="E173" s="127"/>
      <c r="F173" s="127"/>
      <c r="G173" s="134" t="s">
        <v>177</v>
      </c>
      <c r="H173" s="127" t="s">
        <v>174</v>
      </c>
      <c r="I173" s="134" t="s">
        <v>165</v>
      </c>
      <c r="J173" s="134" t="s">
        <v>157</v>
      </c>
      <c r="K173" s="135">
        <v>27.389999999999997</v>
      </c>
      <c r="L173" s="135">
        <f>Table1368[[#This Row],[Prix total Achat]]-Table1368[[#This Row],[Prix article]]</f>
        <v>19.5795</v>
      </c>
      <c r="M173" s="135">
        <v>46.9695</v>
      </c>
      <c r="N173" s="134">
        <v>46127</v>
      </c>
      <c r="O173" s="136">
        <f>(Table1368[[#This Row],[Prix total Achat]]*2)</f>
        <v>93.939</v>
      </c>
      <c r="P173" s="136">
        <f>Table1368[[#This Row],[Prix Min voulu (x2 )]]*1.2</f>
        <v>112.72679999999998</v>
      </c>
      <c r="Q173" s="134">
        <v>46128</v>
      </c>
      <c r="R173" s="134">
        <v>46139</v>
      </c>
      <c r="S173" s="135">
        <v>134.1</v>
      </c>
      <c r="T173" s="134" t="s">
        <v>160</v>
      </c>
      <c r="U173" s="134" t="s">
        <v>157</v>
      </c>
      <c r="V173" s="137">
        <f>IF(ISBLANK(Table1368[[#This Row],[Date réception Achat]]),"",IF(ISBLANK(Table1368[[#This Row],[Date revente]]),TODAY(),Table1368[[#This Row],[Date revente]])-Table1368[[#This Row],[Date réception Achat]])</f>
        <v>12</v>
      </c>
      <c r="W17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3" s="135">
        <f>IF(Table1368[[#This Row],[Prix de revente]]="","",Table1368[[#This Row],[Prix de revente]]-Table1368[[#This Row],[Prix total Achat]])</f>
        <v>87.1305</v>
      </c>
      <c r="Y173" s="138">
        <f>IF(Table1368[[#This Row],[Prix de revente]]="","",(Table1368[[#This Row],[Prix de revente]]/Table1368[[#This Row],[Prix total Achat]]))</f>
        <v>2.8550442308306456</v>
      </c>
      <c r="Z173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73" s="139">
        <f>IF(ISBLANK(Table1368[[#This Row],[Date relisting]]),"",IF(ISBLANK(Table1368[[#This Row],[Date relisting]]),TODAY(),Table1368[[#This Row],[Date relisting]])-Table1368[[#This Row],[Date réception Achat]])</f>
        <v>1</v>
      </c>
      <c r="AB173" s="139">
        <f>IF(ISBLANK(Table1368[[#This Row],[Date revente]]),"",IF(ISBLANK(Table1368[[#This Row],[Date revente]]),TODAY(),Table1368[[#This Row],[Date revente]])-Table1368[[#This Row],[Date relisting]])</f>
        <v>11</v>
      </c>
      <c r="AC173" s="139">
        <f>IF(ISBLANK(Table1368[[#This Row],[Date revente]]),"",IF(ISBLANK(Table1368[[#This Row],[Date revente]]),TODAY(),Table1368[[#This Row],[Date revente]])-Table1368[[#This Row],[Date réception Achat]])</f>
        <v>12</v>
      </c>
      <c r="AD173" s="139">
        <f>IF(ISBLANK(Table1368[[#This Row],[Date revente]]),"",IF(ISBLANK(Table1368[[#This Row],[Date revente]]),TODAY(),Table1368[[#This Row],[Date revente]])-Table1368[[#This Row],[Date achat]])</f>
        <v>18</v>
      </c>
    </row>
    <row r="174" spans="1:30" x14ac:dyDescent="0.25">
      <c r="A174" s="134">
        <v>46121</v>
      </c>
      <c r="B174" s="141" t="s">
        <v>550</v>
      </c>
      <c r="C174" s="134" t="s">
        <v>551</v>
      </c>
      <c r="D174" s="127" t="s">
        <v>545</v>
      </c>
      <c r="E174" s="127"/>
      <c r="F174" s="127"/>
      <c r="G174" s="134" t="s">
        <v>163</v>
      </c>
      <c r="H174" s="127" t="s">
        <v>174</v>
      </c>
      <c r="I174" s="134" t="s">
        <v>165</v>
      </c>
      <c r="J174" s="134" t="s">
        <v>157</v>
      </c>
      <c r="K174" s="135">
        <v>15.883999999999999</v>
      </c>
      <c r="L174" s="135">
        <f>Table1368[[#This Row],[Prix total Achat]]-Table1368[[#This Row],[Prix article]]</f>
        <v>19.579499999999996</v>
      </c>
      <c r="M174" s="135">
        <v>35.463499999999996</v>
      </c>
      <c r="N174" s="134">
        <v>46127</v>
      </c>
      <c r="O174" s="136">
        <f>(Table1368[[#This Row],[Prix total Achat]]*2)</f>
        <v>70.92699999999999</v>
      </c>
      <c r="P174" s="136">
        <f>Table1368[[#This Row],[Prix Min voulu (x2 )]]*1.2</f>
        <v>85.1124</v>
      </c>
      <c r="Q174" s="134">
        <v>46129</v>
      </c>
      <c r="R174" s="134">
        <v>46139</v>
      </c>
      <c r="S174" s="135">
        <v>76.5</v>
      </c>
      <c r="T174" s="134" t="s">
        <v>160</v>
      </c>
      <c r="U174" s="134" t="s">
        <v>157</v>
      </c>
      <c r="V174" s="137">
        <f>IF(ISBLANK(Table1368[[#This Row],[Date réception Achat]]),"",IF(ISBLANK(Table1368[[#This Row],[Date revente]]),TODAY(),Table1368[[#This Row],[Date revente]])-Table1368[[#This Row],[Date réception Achat]])</f>
        <v>12</v>
      </c>
      <c r="W17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4" s="135">
        <f>IF(Table1368[[#This Row],[Prix de revente]]="","",Table1368[[#This Row],[Prix de revente]]-Table1368[[#This Row],[Prix total Achat]])</f>
        <v>41.036500000000004</v>
      </c>
      <c r="Y174" s="138">
        <f>IF(Table1368[[#This Row],[Prix de revente]]="","",(Table1368[[#This Row],[Prix de revente]]/Table1368[[#This Row],[Prix total Achat]]))</f>
        <v>2.1571474896724805</v>
      </c>
      <c r="Z174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74" s="139">
        <f>IF(ISBLANK(Table1368[[#This Row],[Date relisting]]),"",IF(ISBLANK(Table1368[[#This Row],[Date relisting]]),TODAY(),Table1368[[#This Row],[Date relisting]])-Table1368[[#This Row],[Date réception Achat]])</f>
        <v>2</v>
      </c>
      <c r="AB174" s="139">
        <f>IF(ISBLANK(Table1368[[#This Row],[Date revente]]),"",IF(ISBLANK(Table1368[[#This Row],[Date revente]]),TODAY(),Table1368[[#This Row],[Date revente]])-Table1368[[#This Row],[Date relisting]])</f>
        <v>10</v>
      </c>
      <c r="AC174" s="139">
        <f>IF(ISBLANK(Table1368[[#This Row],[Date revente]]),"",IF(ISBLANK(Table1368[[#This Row],[Date revente]]),TODAY(),Table1368[[#This Row],[Date revente]])-Table1368[[#This Row],[Date réception Achat]])</f>
        <v>12</v>
      </c>
      <c r="AD174" s="139">
        <f>IF(ISBLANK(Table1368[[#This Row],[Date revente]]),"",IF(ISBLANK(Table1368[[#This Row],[Date revente]]),TODAY(),Table1368[[#This Row],[Date revente]])-Table1368[[#This Row],[Date achat]])</f>
        <v>18</v>
      </c>
    </row>
    <row r="175" spans="1:30" x14ac:dyDescent="0.25">
      <c r="A175" s="134">
        <v>46121</v>
      </c>
      <c r="B175" s="141" t="s">
        <v>552</v>
      </c>
      <c r="C175" s="134" t="s">
        <v>553</v>
      </c>
      <c r="D175" s="127" t="s">
        <v>545</v>
      </c>
      <c r="E175" s="127"/>
      <c r="F175" s="127"/>
      <c r="G175" s="134" t="s">
        <v>177</v>
      </c>
      <c r="H175" s="127" t="s">
        <v>178</v>
      </c>
      <c r="I175" s="134" t="s">
        <v>165</v>
      </c>
      <c r="J175" s="134" t="s">
        <v>157</v>
      </c>
      <c r="K175" s="135">
        <v>41.25</v>
      </c>
      <c r="L175" s="135">
        <f>Table1368[[#This Row],[Prix total Achat]]-Table1368[[#This Row],[Prix article]]</f>
        <v>19.579499999999996</v>
      </c>
      <c r="M175" s="135">
        <v>60.829499999999996</v>
      </c>
      <c r="N175" s="134">
        <v>46127</v>
      </c>
      <c r="O175" s="136">
        <f>(Table1368[[#This Row],[Prix total Achat]]*2)</f>
        <v>121.65899999999999</v>
      </c>
      <c r="P175" s="136">
        <f>Table1368[[#This Row],[Prix Min voulu (x2 )]]*1.2</f>
        <v>145.99079999999998</v>
      </c>
      <c r="Q175" s="134">
        <v>46128</v>
      </c>
      <c r="R175" s="134">
        <v>46143</v>
      </c>
      <c r="S175" s="135">
        <v>115</v>
      </c>
      <c r="T175" s="134" t="s">
        <v>160</v>
      </c>
      <c r="U175" s="134" t="s">
        <v>157</v>
      </c>
      <c r="V175" s="137">
        <f>IF(ISBLANK(Table1368[[#This Row],[Date réception Achat]]),"",IF(ISBLANK(Table1368[[#This Row],[Date revente]]),TODAY(),Table1368[[#This Row],[Date revente]])-Table1368[[#This Row],[Date réception Achat]])</f>
        <v>16</v>
      </c>
      <c r="W17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5" s="135">
        <f>IF(Table1368[[#This Row],[Prix de revente]]="","",Table1368[[#This Row],[Prix de revente]]-Table1368[[#This Row],[Prix total Achat]])</f>
        <v>54.170500000000004</v>
      </c>
      <c r="Y175" s="138">
        <f>IF(Table1368[[#This Row],[Prix de revente]]="","",(Table1368[[#This Row],[Prix de revente]]/Table1368[[#This Row],[Prix total Achat]]))</f>
        <v>1.8905300881973386</v>
      </c>
      <c r="Z175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75" s="139">
        <f>IF(ISBLANK(Table1368[[#This Row],[Date relisting]]),"",IF(ISBLANK(Table1368[[#This Row],[Date relisting]]),TODAY(),Table1368[[#This Row],[Date relisting]])-Table1368[[#This Row],[Date réception Achat]])</f>
        <v>1</v>
      </c>
      <c r="AB175" s="139">
        <f>IF(ISBLANK(Table1368[[#This Row],[Date revente]]),"",IF(ISBLANK(Table1368[[#This Row],[Date revente]]),TODAY(),Table1368[[#This Row],[Date revente]])-Table1368[[#This Row],[Date relisting]])</f>
        <v>15</v>
      </c>
      <c r="AC175" s="139">
        <f>IF(ISBLANK(Table1368[[#This Row],[Date revente]]),"",IF(ISBLANK(Table1368[[#This Row],[Date revente]]),TODAY(),Table1368[[#This Row],[Date revente]])-Table1368[[#This Row],[Date réception Achat]])</f>
        <v>16</v>
      </c>
      <c r="AD175" s="139">
        <f>IF(ISBLANK(Table1368[[#This Row],[Date revente]]),"",IF(ISBLANK(Table1368[[#This Row],[Date revente]]),TODAY(),Table1368[[#This Row],[Date revente]])-Table1368[[#This Row],[Date achat]])</f>
        <v>22</v>
      </c>
    </row>
    <row r="176" spans="1:30" x14ac:dyDescent="0.25">
      <c r="A176" s="134">
        <v>46121</v>
      </c>
      <c r="B176" s="141" t="s">
        <v>554</v>
      </c>
      <c r="C176" s="134" t="s">
        <v>555</v>
      </c>
      <c r="D176" s="127" t="s">
        <v>545</v>
      </c>
      <c r="E176" s="127"/>
      <c r="F176" s="127"/>
      <c r="G176" s="134" t="s">
        <v>556</v>
      </c>
      <c r="H176" s="127" t="s">
        <v>557</v>
      </c>
      <c r="I176" s="134" t="s">
        <v>165</v>
      </c>
      <c r="J176" s="134" t="s">
        <v>157</v>
      </c>
      <c r="K176" s="135">
        <v>36.849999999999994</v>
      </c>
      <c r="L176" s="135">
        <f>Table1368[[#This Row],[Prix total Achat]]-Table1368[[#This Row],[Prix article]]</f>
        <v>19.579499999999996</v>
      </c>
      <c r="M176" s="135">
        <v>56.42949999999999</v>
      </c>
      <c r="N176" s="134">
        <v>46127</v>
      </c>
      <c r="O176" s="136">
        <f>(Table1368[[#This Row],[Prix total Achat]]*2)</f>
        <v>112.85899999999998</v>
      </c>
      <c r="P176" s="136">
        <f>Table1368[[#This Row],[Prix Min voulu (x2 )]]*1.2</f>
        <v>135.43079999999998</v>
      </c>
      <c r="Q176" s="134">
        <v>46129</v>
      </c>
      <c r="R176" s="134">
        <v>46142</v>
      </c>
      <c r="S176" s="135">
        <v>115</v>
      </c>
      <c r="T176" s="134" t="s">
        <v>160</v>
      </c>
      <c r="U176" s="134" t="s">
        <v>157</v>
      </c>
      <c r="V176" s="137">
        <f>IF(ISBLANK(Table1368[[#This Row],[Date réception Achat]]),"",IF(ISBLANK(Table1368[[#This Row],[Date revente]]),TODAY(),Table1368[[#This Row],[Date revente]])-Table1368[[#This Row],[Date réception Achat]])</f>
        <v>15</v>
      </c>
      <c r="W17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6" s="135">
        <f>IF(Table1368[[#This Row],[Prix de revente]]="","",Table1368[[#This Row],[Prix de revente]]-Table1368[[#This Row],[Prix total Achat]])</f>
        <v>58.57050000000001</v>
      </c>
      <c r="Y176" s="138">
        <f>IF(Table1368[[#This Row],[Prix de revente]]="","",(Table1368[[#This Row],[Prix de revente]]/Table1368[[#This Row],[Prix total Achat]]))</f>
        <v>2.037941147803897</v>
      </c>
      <c r="Z176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76" s="139">
        <f>IF(ISBLANK(Table1368[[#This Row],[Date relisting]]),"",IF(ISBLANK(Table1368[[#This Row],[Date relisting]]),TODAY(),Table1368[[#This Row],[Date relisting]])-Table1368[[#This Row],[Date réception Achat]])</f>
        <v>2</v>
      </c>
      <c r="AB176" s="139">
        <f>IF(ISBLANK(Table1368[[#This Row],[Date revente]]),"",IF(ISBLANK(Table1368[[#This Row],[Date revente]]),TODAY(),Table1368[[#This Row],[Date revente]])-Table1368[[#This Row],[Date relisting]])</f>
        <v>13</v>
      </c>
      <c r="AC176" s="139">
        <f>IF(ISBLANK(Table1368[[#This Row],[Date revente]]),"",IF(ISBLANK(Table1368[[#This Row],[Date revente]]),TODAY(),Table1368[[#This Row],[Date revente]])-Table1368[[#This Row],[Date réception Achat]])</f>
        <v>15</v>
      </c>
      <c r="AD176" s="139">
        <f>IF(ISBLANK(Table1368[[#This Row],[Date revente]]),"",IF(ISBLANK(Table1368[[#This Row],[Date revente]]),TODAY(),Table1368[[#This Row],[Date revente]])-Table1368[[#This Row],[Date achat]])</f>
        <v>21</v>
      </c>
    </row>
    <row r="177" spans="1:30" x14ac:dyDescent="0.25">
      <c r="A177" s="134">
        <v>46127</v>
      </c>
      <c r="B177" s="141" t="s">
        <v>558</v>
      </c>
      <c r="C177" s="134" t="s">
        <v>559</v>
      </c>
      <c r="D177" s="127" t="s">
        <v>560</v>
      </c>
      <c r="E177" s="127"/>
      <c r="F177" s="127"/>
      <c r="G177" s="134" t="s">
        <v>561</v>
      </c>
      <c r="H177" s="127" t="s">
        <v>164</v>
      </c>
      <c r="I177" s="134" t="s">
        <v>165</v>
      </c>
      <c r="J177" s="134" t="s">
        <v>157</v>
      </c>
      <c r="K177" s="135">
        <v>12.15</v>
      </c>
      <c r="L177" s="135">
        <f>Table1368[[#This Row],[Prix total Achat]]-Table1368[[#This Row],[Prix article]]</f>
        <v>24.838096000000007</v>
      </c>
      <c r="M177" s="135">
        <v>36.988096000000006</v>
      </c>
      <c r="N177" s="134">
        <v>46134</v>
      </c>
      <c r="O177" s="136">
        <f>(Table1368[[#This Row],[Prix total Achat]]*2)</f>
        <v>73.97619200000001</v>
      </c>
      <c r="P177" s="136">
        <f>Table1368[[#This Row],[Prix Min voulu (x2 )]]*1.2</f>
        <v>88.77143040000001</v>
      </c>
      <c r="Q177" s="134">
        <v>46135</v>
      </c>
      <c r="R177" s="134">
        <v>46214</v>
      </c>
      <c r="S177" s="135">
        <v>65</v>
      </c>
      <c r="T177" s="134" t="s">
        <v>160</v>
      </c>
      <c r="U177" s="134" t="s">
        <v>157</v>
      </c>
      <c r="V177" s="137">
        <f>IF(ISBLANK(Table1368[[#This Row],[Date réception Achat]]),"",IF(ISBLANK(Table1368[[#This Row],[Date revente]]),TODAY(),Table1368[[#This Row],[Date revente]])-Table1368[[#This Row],[Date réception Achat]])</f>
        <v>80</v>
      </c>
      <c r="W17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7" s="135">
        <f>IF(Table1368[[#This Row],[Prix de revente]]="","",Table1368[[#This Row],[Prix de revente]]-Table1368[[#This Row],[Prix total Achat]])</f>
        <v>28.011903999999994</v>
      </c>
      <c r="Y177" s="138">
        <f>IF(Table1368[[#This Row],[Prix de revente]]="","",(Table1368[[#This Row],[Prix de revente]]/Table1368[[#This Row],[Prix total Achat]]))</f>
        <v>1.7573221395337568</v>
      </c>
      <c r="Z177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77" s="139">
        <f>IF(ISBLANK(Table1368[[#This Row],[Date relisting]]),"",IF(ISBLANK(Table1368[[#This Row],[Date relisting]]),TODAY(),Table1368[[#This Row],[Date relisting]])-Table1368[[#This Row],[Date réception Achat]])</f>
        <v>1</v>
      </c>
      <c r="AB177" s="139">
        <f>IF(ISBLANK(Table1368[[#This Row],[Date revente]]),"",IF(ISBLANK(Table1368[[#This Row],[Date revente]]),TODAY(),Table1368[[#This Row],[Date revente]])-Table1368[[#This Row],[Date relisting]])</f>
        <v>79</v>
      </c>
      <c r="AC177" s="139">
        <f>IF(ISBLANK(Table1368[[#This Row],[Date revente]]),"",IF(ISBLANK(Table1368[[#This Row],[Date revente]]),TODAY(),Table1368[[#This Row],[Date revente]])-Table1368[[#This Row],[Date réception Achat]])</f>
        <v>80</v>
      </c>
      <c r="AD177" s="139">
        <f>IF(ISBLANK(Table1368[[#This Row],[Date revente]]),"",IF(ISBLANK(Table1368[[#This Row],[Date revente]]),TODAY(),Table1368[[#This Row],[Date revente]])-Table1368[[#This Row],[Date achat]])</f>
        <v>87</v>
      </c>
    </row>
    <row r="178" spans="1:30" x14ac:dyDescent="0.25">
      <c r="A178" s="134">
        <v>46127</v>
      </c>
      <c r="B178" s="141" t="s">
        <v>562</v>
      </c>
      <c r="C178" s="134" t="s">
        <v>563</v>
      </c>
      <c r="D178" s="127" t="s">
        <v>560</v>
      </c>
      <c r="E178" s="127"/>
      <c r="F178" s="127"/>
      <c r="G178" s="134" t="s">
        <v>163</v>
      </c>
      <c r="H178" s="127" t="s">
        <v>164</v>
      </c>
      <c r="I178" s="134" t="s">
        <v>165</v>
      </c>
      <c r="J178" s="134" t="s">
        <v>157</v>
      </c>
      <c r="K178" s="135">
        <v>18.36</v>
      </c>
      <c r="L178" s="135">
        <f>Table1368[[#This Row],[Prix total Achat]]-Table1368[[#This Row],[Prix article]]</f>
        <v>24.838096000000007</v>
      </c>
      <c r="M178" s="135">
        <v>43.19809600000001</v>
      </c>
      <c r="N178" s="134">
        <v>46134</v>
      </c>
      <c r="O178" s="136">
        <f>(Table1368[[#This Row],[Prix total Achat]]*2)</f>
        <v>86.39619200000001</v>
      </c>
      <c r="P178" s="136">
        <f>Table1368[[#This Row],[Prix Min voulu (x2 )]]*1.2</f>
        <v>103.67543040000001</v>
      </c>
      <c r="Q178" s="134">
        <v>46136</v>
      </c>
      <c r="R178" s="134">
        <v>46293</v>
      </c>
      <c r="S178" s="135">
        <v>80</v>
      </c>
      <c r="T178" s="134" t="s">
        <v>160</v>
      </c>
      <c r="U178" s="134" t="s">
        <v>157</v>
      </c>
      <c r="V178" s="137">
        <f>IF(ISBLANK(Table1368[[#This Row],[Date réception Achat]]),"",IF(ISBLANK(Table1368[[#This Row],[Date revente]]),TODAY(),Table1368[[#This Row],[Date revente]])-Table1368[[#This Row],[Date réception Achat]])</f>
        <v>159</v>
      </c>
      <c r="W17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8" s="135">
        <f>IF(Table1368[[#This Row],[Prix de revente]]="","",Table1368[[#This Row],[Prix de revente]]-Table1368[[#This Row],[Prix total Achat]])</f>
        <v>36.80190399999999</v>
      </c>
      <c r="Y178" s="138">
        <f>IF(Table1368[[#This Row],[Prix de revente]]="","",(Table1368[[#This Row],[Prix de revente]]/Table1368[[#This Row],[Prix total Achat]]))</f>
        <v>1.8519334741049696</v>
      </c>
      <c r="Z178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78" s="139">
        <f>IF(ISBLANK(Table1368[[#This Row],[Date relisting]]),"",IF(ISBLANK(Table1368[[#This Row],[Date relisting]]),TODAY(),Table1368[[#This Row],[Date relisting]])-Table1368[[#This Row],[Date réception Achat]])</f>
        <v>2</v>
      </c>
      <c r="AB178" s="139">
        <f>IF(ISBLANK(Table1368[[#This Row],[Date revente]]),"",IF(ISBLANK(Table1368[[#This Row],[Date revente]]),TODAY(),Table1368[[#This Row],[Date revente]])-Table1368[[#This Row],[Date relisting]])</f>
        <v>157</v>
      </c>
      <c r="AC178" s="139">
        <f>IF(ISBLANK(Table1368[[#This Row],[Date revente]]),"",IF(ISBLANK(Table1368[[#This Row],[Date revente]]),TODAY(),Table1368[[#This Row],[Date revente]])-Table1368[[#This Row],[Date réception Achat]])</f>
        <v>159</v>
      </c>
      <c r="AD178" s="139">
        <f>IF(ISBLANK(Table1368[[#This Row],[Date revente]]),"",IF(ISBLANK(Table1368[[#This Row],[Date revente]]),TODAY(),Table1368[[#This Row],[Date revente]])-Table1368[[#This Row],[Date achat]])</f>
        <v>166</v>
      </c>
    </row>
    <row r="179" spans="1:30" x14ac:dyDescent="0.25">
      <c r="A179" s="134">
        <v>46127</v>
      </c>
      <c r="B179" s="141" t="s">
        <v>564</v>
      </c>
      <c r="C179" s="134" t="s">
        <v>565</v>
      </c>
      <c r="D179" s="127" t="s">
        <v>560</v>
      </c>
      <c r="E179" s="127"/>
      <c r="F179" s="127"/>
      <c r="G179" s="134" t="s">
        <v>177</v>
      </c>
      <c r="H179" s="127" t="s">
        <v>194</v>
      </c>
      <c r="I179" s="134" t="s">
        <v>165</v>
      </c>
      <c r="J179" s="134" t="s">
        <v>157</v>
      </c>
      <c r="K179" s="135">
        <v>37.692</v>
      </c>
      <c r="L179" s="135">
        <f>Table1368[[#This Row],[Prix total Achat]]-Table1368[[#This Row],[Prix article]]</f>
        <v>24.838096</v>
      </c>
      <c r="M179" s="135">
        <v>62.530096</v>
      </c>
      <c r="N179" s="134">
        <v>46134</v>
      </c>
      <c r="O179" s="136">
        <f>(Table1368[[#This Row],[Prix total Achat]]*2)</f>
        <v>125.060192</v>
      </c>
      <c r="P179" s="136">
        <f>Table1368[[#This Row],[Prix Min voulu (x2 )]]*1.2</f>
        <v>150.0722304</v>
      </c>
      <c r="Q179" s="134">
        <v>46134</v>
      </c>
      <c r="R179" s="134">
        <v>46276</v>
      </c>
      <c r="S179" s="135">
        <v>60</v>
      </c>
      <c r="T179" s="134" t="s">
        <v>566</v>
      </c>
      <c r="U179" s="134" t="s">
        <v>567</v>
      </c>
      <c r="V179" s="137">
        <f>IF(ISBLANK(Table1368[[#This Row],[Date réception Achat]]),"",IF(ISBLANK(Table1368[[#This Row],[Date revente]]),TODAY(),Table1368[[#This Row],[Date revente]])-Table1368[[#This Row],[Date réception Achat]])</f>
        <v>142</v>
      </c>
      <c r="W17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79" s="135">
        <f>IF(Table1368[[#This Row],[Prix de revente]]="","",Table1368[[#This Row],[Prix de revente]]-Table1368[[#This Row],[Prix total Achat]])</f>
        <v>-2.5300960000000003</v>
      </c>
      <c r="Y179" s="138">
        <f>IF(Table1368[[#This Row],[Prix de revente]]="","",(Table1368[[#This Row],[Prix de revente]]/Table1368[[#This Row],[Prix total Achat]]))</f>
        <v>0.9595379479347033</v>
      </c>
      <c r="Z179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79" s="139">
        <f>IF(ISBLANK(Table1368[[#This Row],[Date relisting]]),"",IF(ISBLANK(Table1368[[#This Row],[Date relisting]]),TODAY(),Table1368[[#This Row],[Date relisting]])-Table1368[[#This Row],[Date réception Achat]])</f>
        <v>0</v>
      </c>
      <c r="AB179" s="139">
        <f>IF(ISBLANK(Table1368[[#This Row],[Date revente]]),"",IF(ISBLANK(Table1368[[#This Row],[Date revente]]),TODAY(),Table1368[[#This Row],[Date revente]])-Table1368[[#This Row],[Date relisting]])</f>
        <v>142</v>
      </c>
      <c r="AC179" s="139">
        <f>IF(ISBLANK(Table1368[[#This Row],[Date revente]]),"",IF(ISBLANK(Table1368[[#This Row],[Date revente]]),TODAY(),Table1368[[#This Row],[Date revente]])-Table1368[[#This Row],[Date réception Achat]])</f>
        <v>142</v>
      </c>
      <c r="AD179" s="139">
        <f>IF(ISBLANK(Table1368[[#This Row],[Date revente]]),"",IF(ISBLANK(Table1368[[#This Row],[Date revente]]),TODAY(),Table1368[[#This Row],[Date revente]])-Table1368[[#This Row],[Date achat]])</f>
        <v>149</v>
      </c>
    </row>
    <row r="180" spans="1:30" x14ac:dyDescent="0.25">
      <c r="A180" s="134">
        <v>46127</v>
      </c>
      <c r="B180" s="141" t="s">
        <v>568</v>
      </c>
      <c r="C180" s="134" t="s">
        <v>569</v>
      </c>
      <c r="D180" s="127" t="s">
        <v>560</v>
      </c>
      <c r="E180" s="127"/>
      <c r="F180" s="127"/>
      <c r="G180" s="134" t="s">
        <v>378</v>
      </c>
      <c r="H180" s="127">
        <v>34</v>
      </c>
      <c r="I180" s="134" t="s">
        <v>165</v>
      </c>
      <c r="J180" s="134" t="s">
        <v>157</v>
      </c>
      <c r="K180" s="135">
        <v>27</v>
      </c>
      <c r="L180" s="135">
        <f>Table1368[[#This Row],[Prix total Achat]]-Table1368[[#This Row],[Prix article]]</f>
        <v>24.838096000000007</v>
      </c>
      <c r="M180" s="135">
        <v>51.83809600000001</v>
      </c>
      <c r="N180" s="134">
        <v>46134</v>
      </c>
      <c r="O180" s="136">
        <f>(Table1368[[#This Row],[Prix total Achat]]*2)</f>
        <v>103.67619200000001</v>
      </c>
      <c r="P180" s="136">
        <f>Table1368[[#This Row],[Prix Min voulu (x2 )]]*1.2</f>
        <v>124.41143040000001</v>
      </c>
      <c r="Q180" s="134">
        <v>46134</v>
      </c>
      <c r="R180" s="134">
        <v>46139</v>
      </c>
      <c r="S180" s="135">
        <v>115</v>
      </c>
      <c r="T180" s="134" t="s">
        <v>160</v>
      </c>
      <c r="U180" s="134" t="s">
        <v>157</v>
      </c>
      <c r="V180" s="137">
        <f>IF(ISBLANK(Table1368[[#This Row],[Date réception Achat]]),"",IF(ISBLANK(Table1368[[#This Row],[Date revente]]),TODAY(),Table1368[[#This Row],[Date revente]])-Table1368[[#This Row],[Date réception Achat]])</f>
        <v>5</v>
      </c>
      <c r="W18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0" s="135">
        <f>IF(Table1368[[#This Row],[Prix de revente]]="","",Table1368[[#This Row],[Prix de revente]]-Table1368[[#This Row],[Prix total Achat]])</f>
        <v>63.16190399999999</v>
      </c>
      <c r="Y180" s="138">
        <f>IF(Table1368[[#This Row],[Prix de revente]]="","",(Table1368[[#This Row],[Prix de revente]]/Table1368[[#This Row],[Prix total Achat]]))</f>
        <v>2.2184456774801293</v>
      </c>
      <c r="Z180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80" s="139">
        <f>IF(ISBLANK(Table1368[[#This Row],[Date relisting]]),"",IF(ISBLANK(Table1368[[#This Row],[Date relisting]]),TODAY(),Table1368[[#This Row],[Date relisting]])-Table1368[[#This Row],[Date réception Achat]])</f>
        <v>0</v>
      </c>
      <c r="AB180" s="139">
        <f>IF(ISBLANK(Table1368[[#This Row],[Date revente]]),"",IF(ISBLANK(Table1368[[#This Row],[Date revente]]),TODAY(),Table1368[[#This Row],[Date revente]])-Table1368[[#This Row],[Date relisting]])</f>
        <v>5</v>
      </c>
      <c r="AC180" s="139">
        <f>IF(ISBLANK(Table1368[[#This Row],[Date revente]]),"",IF(ISBLANK(Table1368[[#This Row],[Date revente]]),TODAY(),Table1368[[#This Row],[Date revente]])-Table1368[[#This Row],[Date réception Achat]])</f>
        <v>5</v>
      </c>
      <c r="AD180" s="139">
        <f>IF(ISBLANK(Table1368[[#This Row],[Date revente]]),"",IF(ISBLANK(Table1368[[#This Row],[Date revente]]),TODAY(),Table1368[[#This Row],[Date revente]])-Table1368[[#This Row],[Date achat]])</f>
        <v>12</v>
      </c>
    </row>
    <row r="181" spans="1:30" x14ac:dyDescent="0.25">
      <c r="A181" s="134">
        <v>46127</v>
      </c>
      <c r="B181" s="141" t="s">
        <v>570</v>
      </c>
      <c r="C181" s="134" t="s">
        <v>571</v>
      </c>
      <c r="D181" s="127" t="s">
        <v>560</v>
      </c>
      <c r="E181" s="127"/>
      <c r="F181" s="127"/>
      <c r="G181" s="134" t="s">
        <v>177</v>
      </c>
      <c r="H181" s="127" t="s">
        <v>174</v>
      </c>
      <c r="I181" s="134" t="s">
        <v>165</v>
      </c>
      <c r="J181" s="134" t="s">
        <v>157</v>
      </c>
      <c r="K181" s="135">
        <v>24.3</v>
      </c>
      <c r="L181" s="135">
        <f>Table1368[[#This Row],[Prix total Achat]]-Table1368[[#This Row],[Prix article]]</f>
        <v>24.838096000000004</v>
      </c>
      <c r="M181" s="135">
        <v>49.138096000000004</v>
      </c>
      <c r="N181" s="134">
        <v>46134</v>
      </c>
      <c r="O181" s="136">
        <f>(Table1368[[#This Row],[Prix total Achat]]*2)</f>
        <v>98.27619200000001</v>
      </c>
      <c r="P181" s="136">
        <f>Table1368[[#This Row],[Prix Min voulu (x2 )]]*1.2</f>
        <v>117.93143040000001</v>
      </c>
      <c r="Q181" s="134">
        <v>46134</v>
      </c>
      <c r="R181" s="134">
        <v>46134</v>
      </c>
      <c r="S181" s="135">
        <v>115</v>
      </c>
      <c r="T181" s="134" t="s">
        <v>160</v>
      </c>
      <c r="U181" s="134" t="s">
        <v>157</v>
      </c>
      <c r="V181" s="137">
        <f>IF(ISBLANK(Table1368[[#This Row],[Date réception Achat]]),"",IF(ISBLANK(Table1368[[#This Row],[Date revente]]),TODAY(),Table1368[[#This Row],[Date revente]])-Table1368[[#This Row],[Date réception Achat]])</f>
        <v>0</v>
      </c>
      <c r="W18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1" s="135">
        <f>IF(Table1368[[#This Row],[Prix de revente]]="","",Table1368[[#This Row],[Prix de revente]]-Table1368[[#This Row],[Prix total Achat]])</f>
        <v>65.861904</v>
      </c>
      <c r="Y181" s="138">
        <f>IF(Table1368[[#This Row],[Prix de revente]]="","",(Table1368[[#This Row],[Prix de revente]]/Table1368[[#This Row],[Prix total Achat]]))</f>
        <v>2.340343020209818</v>
      </c>
      <c r="Z181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81" s="139">
        <f>IF(ISBLANK(Table1368[[#This Row],[Date relisting]]),"",IF(ISBLANK(Table1368[[#This Row],[Date relisting]]),TODAY(),Table1368[[#This Row],[Date relisting]])-Table1368[[#This Row],[Date réception Achat]])</f>
        <v>0</v>
      </c>
      <c r="AB181" s="139">
        <f>IF(ISBLANK(Table1368[[#This Row],[Date revente]]),"",IF(ISBLANK(Table1368[[#This Row],[Date revente]]),TODAY(),Table1368[[#This Row],[Date revente]])-Table1368[[#This Row],[Date relisting]])</f>
        <v>0</v>
      </c>
      <c r="AC181" s="139">
        <f>IF(ISBLANK(Table1368[[#This Row],[Date revente]]),"",IF(ISBLANK(Table1368[[#This Row],[Date revente]]),TODAY(),Table1368[[#This Row],[Date revente]])-Table1368[[#This Row],[Date réception Achat]])</f>
        <v>0</v>
      </c>
      <c r="AD181" s="139">
        <f>IF(ISBLANK(Table1368[[#This Row],[Date revente]]),"",IF(ISBLANK(Table1368[[#This Row],[Date revente]]),TODAY(),Table1368[[#This Row],[Date revente]])-Table1368[[#This Row],[Date achat]])</f>
        <v>7</v>
      </c>
    </row>
    <row r="182" spans="1:30" x14ac:dyDescent="0.25">
      <c r="A182" s="134">
        <v>46127</v>
      </c>
      <c r="B182" s="141" t="s">
        <v>572</v>
      </c>
      <c r="C182" s="134" t="s">
        <v>573</v>
      </c>
      <c r="D182" s="127" t="s">
        <v>574</v>
      </c>
      <c r="E182" s="127"/>
      <c r="F182" s="127"/>
      <c r="G182" s="134" t="s">
        <v>378</v>
      </c>
      <c r="H182" s="127">
        <v>33</v>
      </c>
      <c r="I182" s="134" t="s">
        <v>165</v>
      </c>
      <c r="J182" s="134" t="s">
        <v>157</v>
      </c>
      <c r="K182" s="135">
        <v>26.892000000000003</v>
      </c>
      <c r="L182" s="135">
        <f>Table1368[[#This Row],[Prix total Achat]]-Table1368[[#This Row],[Prix article]]</f>
        <v>24.838096</v>
      </c>
      <c r="M182" s="135">
        <v>51.730096</v>
      </c>
      <c r="N182" s="134">
        <v>46134</v>
      </c>
      <c r="O182" s="136">
        <f>(Table1368[[#This Row],[Prix total Achat]]*2)</f>
        <v>103.460192</v>
      </c>
      <c r="P182" s="136">
        <f>Table1368[[#This Row],[Prix Min voulu (x2 )]]*1.2</f>
        <v>124.15223040000001</v>
      </c>
      <c r="Q182" s="134">
        <v>46134</v>
      </c>
      <c r="R182" s="134">
        <v>46134</v>
      </c>
      <c r="S182" s="135">
        <v>125</v>
      </c>
      <c r="T182" s="134" t="s">
        <v>160</v>
      </c>
      <c r="U182" s="134" t="s">
        <v>157</v>
      </c>
      <c r="V182" s="137">
        <f>IF(ISBLANK(Table1368[[#This Row],[Date réception Achat]]),"",IF(ISBLANK(Table1368[[#This Row],[Date revente]]),TODAY(),Table1368[[#This Row],[Date revente]])-Table1368[[#This Row],[Date réception Achat]])</f>
        <v>0</v>
      </c>
      <c r="W18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2" s="135">
        <f>IF(Table1368[[#This Row],[Prix de revente]]="","",Table1368[[#This Row],[Prix de revente]]-Table1368[[#This Row],[Prix total Achat]])</f>
        <v>73.269904</v>
      </c>
      <c r="Y182" s="138">
        <f>IF(Table1368[[#This Row],[Prix de revente]]="","",(Table1368[[#This Row],[Prix de revente]]/Table1368[[#This Row],[Prix total Achat]]))</f>
        <v>2.4163883245064923</v>
      </c>
      <c r="Z182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182" s="139">
        <f>IF(ISBLANK(Table1368[[#This Row],[Date relisting]]),"",IF(ISBLANK(Table1368[[#This Row],[Date relisting]]),TODAY(),Table1368[[#This Row],[Date relisting]])-Table1368[[#This Row],[Date réception Achat]])</f>
        <v>0</v>
      </c>
      <c r="AB182" s="139">
        <f>IF(ISBLANK(Table1368[[#This Row],[Date revente]]),"",IF(ISBLANK(Table1368[[#This Row],[Date revente]]),TODAY(),Table1368[[#This Row],[Date revente]])-Table1368[[#This Row],[Date relisting]])</f>
        <v>0</v>
      </c>
      <c r="AC182" s="139">
        <f>IF(ISBLANK(Table1368[[#This Row],[Date revente]]),"",IF(ISBLANK(Table1368[[#This Row],[Date revente]]),TODAY(),Table1368[[#This Row],[Date revente]])-Table1368[[#This Row],[Date réception Achat]])</f>
        <v>0</v>
      </c>
      <c r="AD182" s="139">
        <f>IF(ISBLANK(Table1368[[#This Row],[Date revente]]),"",IF(ISBLANK(Table1368[[#This Row],[Date revente]]),TODAY(),Table1368[[#This Row],[Date revente]])-Table1368[[#This Row],[Date achat]])</f>
        <v>7</v>
      </c>
    </row>
    <row r="183" spans="1:30" x14ac:dyDescent="0.25">
      <c r="A183" s="134">
        <v>46131</v>
      </c>
      <c r="B183" s="141" t="s">
        <v>575</v>
      </c>
      <c r="C183" s="134" t="s">
        <v>576</v>
      </c>
      <c r="D183" s="127" t="s">
        <v>574</v>
      </c>
      <c r="E183" s="127"/>
      <c r="F183" s="127"/>
      <c r="G183" s="134" t="s">
        <v>577</v>
      </c>
      <c r="H183" s="127" t="s">
        <v>178</v>
      </c>
      <c r="I183" s="134" t="s">
        <v>160</v>
      </c>
      <c r="J183" s="134" t="s">
        <v>189</v>
      </c>
      <c r="K183" s="135">
        <v>50</v>
      </c>
      <c r="L183" s="135">
        <f>Table1368[[#This Row],[Prix total Achat]]-Table1368[[#This Row],[Prix article]]</f>
        <v>4.740000000000002</v>
      </c>
      <c r="M183" s="135">
        <v>54.74</v>
      </c>
      <c r="N183" s="134">
        <v>46137</v>
      </c>
      <c r="O183" s="136">
        <f>(Table1368[[#This Row],[Prix total Achat]]*2)</f>
        <v>109.48</v>
      </c>
      <c r="P183" s="136">
        <f>Table1368[[#This Row],[Prix Min voulu (x2 )]]*1.2</f>
        <v>131.376</v>
      </c>
      <c r="Q183" s="134">
        <v>46139</v>
      </c>
      <c r="R183" s="134">
        <v>46152</v>
      </c>
      <c r="S183" s="135">
        <v>115</v>
      </c>
      <c r="T183" s="134" t="s">
        <v>160</v>
      </c>
      <c r="U183" s="134" t="s">
        <v>578</v>
      </c>
      <c r="V183" s="137">
        <f>IF(ISBLANK(Table1368[[#This Row],[Date réception Achat]]),"",IF(ISBLANK(Table1368[[#This Row],[Date revente]]),TODAY(),Table1368[[#This Row],[Date revente]])-Table1368[[#This Row],[Date réception Achat]])</f>
        <v>15</v>
      </c>
      <c r="W18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3" s="135">
        <f>IF(Table1368[[#This Row],[Prix de revente]]="","",Table1368[[#This Row],[Prix de revente]]-Table1368[[#This Row],[Prix total Achat]])</f>
        <v>60.26</v>
      </c>
      <c r="Y183" s="138">
        <f>IF(Table1368[[#This Row],[Prix de revente]]="","",(Table1368[[#This Row],[Prix de revente]]/Table1368[[#This Row],[Prix total Achat]]))</f>
        <v>2.100840336134454</v>
      </c>
      <c r="Z183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83" s="139">
        <f>IF(ISBLANK(Table1368[[#This Row],[Date relisting]]),"",IF(ISBLANK(Table1368[[#This Row],[Date relisting]]),TODAY(),Table1368[[#This Row],[Date relisting]])-Table1368[[#This Row],[Date réception Achat]])</f>
        <v>2</v>
      </c>
      <c r="AB183" s="139">
        <f>IF(ISBLANK(Table1368[[#This Row],[Date revente]]),"",IF(ISBLANK(Table1368[[#This Row],[Date revente]]),TODAY(),Table1368[[#This Row],[Date revente]])-Table1368[[#This Row],[Date relisting]])</f>
        <v>13</v>
      </c>
      <c r="AC183" s="139">
        <f>IF(ISBLANK(Table1368[[#This Row],[Date revente]]),"",IF(ISBLANK(Table1368[[#This Row],[Date revente]]),TODAY(),Table1368[[#This Row],[Date revente]])-Table1368[[#This Row],[Date réception Achat]])</f>
        <v>15</v>
      </c>
      <c r="AD183" s="139">
        <f>IF(ISBLANK(Table1368[[#This Row],[Date revente]]),"",IF(ISBLANK(Table1368[[#This Row],[Date revente]]),TODAY(),Table1368[[#This Row],[Date revente]])-Table1368[[#This Row],[Date achat]])</f>
        <v>21</v>
      </c>
    </row>
    <row r="184" spans="1:30" x14ac:dyDescent="0.25">
      <c r="A184" s="134">
        <v>46131</v>
      </c>
      <c r="B184" s="141" t="s">
        <v>579</v>
      </c>
      <c r="C184" s="134" t="s">
        <v>580</v>
      </c>
      <c r="D184" s="127" t="s">
        <v>574</v>
      </c>
      <c r="E184" s="127"/>
      <c r="F184" s="127"/>
      <c r="G184" s="134" t="s">
        <v>577</v>
      </c>
      <c r="H184" s="127" t="s">
        <v>178</v>
      </c>
      <c r="I184" s="134" t="s">
        <v>160</v>
      </c>
      <c r="J184" s="134" t="s">
        <v>189</v>
      </c>
      <c r="K184" s="135">
        <v>50</v>
      </c>
      <c r="L184" s="135">
        <f>Table1368[[#This Row],[Prix total Achat]]-Table1368[[#This Row],[Prix article]]</f>
        <v>4.740000000000002</v>
      </c>
      <c r="M184" s="135">
        <v>54.74</v>
      </c>
      <c r="N184" s="134">
        <v>46137</v>
      </c>
      <c r="O184" s="136">
        <f>(Table1368[[#This Row],[Prix total Achat]]*2)</f>
        <v>109.48</v>
      </c>
      <c r="P184" s="136">
        <f>Table1368[[#This Row],[Prix Min voulu (x2 )]]*1.2</f>
        <v>131.376</v>
      </c>
      <c r="Q184" s="134">
        <v>46139</v>
      </c>
      <c r="R184" s="134">
        <v>46140</v>
      </c>
      <c r="S184" s="135">
        <v>120</v>
      </c>
      <c r="T184" s="134" t="s">
        <v>160</v>
      </c>
      <c r="U184" s="134" t="s">
        <v>157</v>
      </c>
      <c r="V184" s="137">
        <f>IF(ISBLANK(Table1368[[#This Row],[Date réception Achat]]),"",IF(ISBLANK(Table1368[[#This Row],[Date revente]]),TODAY(),Table1368[[#This Row],[Date revente]])-Table1368[[#This Row],[Date réception Achat]])</f>
        <v>3</v>
      </c>
      <c r="W18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4" s="135">
        <f>IF(Table1368[[#This Row],[Prix de revente]]="","",Table1368[[#This Row],[Prix de revente]]-Table1368[[#This Row],[Prix total Achat]])</f>
        <v>65.25999999999999</v>
      </c>
      <c r="Y184" s="138">
        <f>IF(Table1368[[#This Row],[Prix de revente]]="","",(Table1368[[#This Row],[Prix de revente]]/Table1368[[#This Row],[Prix total Achat]]))</f>
        <v>2.1921812203142124</v>
      </c>
      <c r="Z184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84" s="139">
        <f>IF(ISBLANK(Table1368[[#This Row],[Date relisting]]),"",IF(ISBLANK(Table1368[[#This Row],[Date relisting]]),TODAY(),Table1368[[#This Row],[Date relisting]])-Table1368[[#This Row],[Date réception Achat]])</f>
        <v>2</v>
      </c>
      <c r="AB184" s="139">
        <f>IF(ISBLANK(Table1368[[#This Row],[Date revente]]),"",IF(ISBLANK(Table1368[[#This Row],[Date revente]]),TODAY(),Table1368[[#This Row],[Date revente]])-Table1368[[#This Row],[Date relisting]])</f>
        <v>1</v>
      </c>
      <c r="AC184" s="139">
        <f>IF(ISBLANK(Table1368[[#This Row],[Date revente]]),"",IF(ISBLANK(Table1368[[#This Row],[Date revente]]),TODAY(),Table1368[[#This Row],[Date revente]])-Table1368[[#This Row],[Date réception Achat]])</f>
        <v>3</v>
      </c>
      <c r="AD184" s="139">
        <f>IF(ISBLANK(Table1368[[#This Row],[Date revente]]),"",IF(ISBLANK(Table1368[[#This Row],[Date revente]]),TODAY(),Table1368[[#This Row],[Date revente]])-Table1368[[#This Row],[Date achat]])</f>
        <v>9</v>
      </c>
    </row>
    <row r="185" spans="1:30" x14ac:dyDescent="0.25">
      <c r="A185" s="134">
        <v>46133</v>
      </c>
      <c r="B185" s="141" t="s">
        <v>581</v>
      </c>
      <c r="C185" s="134" t="s">
        <v>582</v>
      </c>
      <c r="D185" s="127" t="s">
        <v>574</v>
      </c>
      <c r="E185" s="127"/>
      <c r="F185" s="127"/>
      <c r="G185" s="134" t="s">
        <v>378</v>
      </c>
      <c r="H185" s="127" t="s">
        <v>583</v>
      </c>
      <c r="I185" s="134" t="s">
        <v>165</v>
      </c>
      <c r="J185" s="134" t="s">
        <v>157</v>
      </c>
      <c r="K185" s="135">
        <v>8.25</v>
      </c>
      <c r="L185" s="135">
        <f>Table1368[[#This Row],[Prix total Achat]]-Table1368[[#This Row],[Prix article]]</f>
        <v>15.530721142857143</v>
      </c>
      <c r="M185" s="135">
        <v>23.780721142857143</v>
      </c>
      <c r="N185" s="134">
        <v>46139</v>
      </c>
      <c r="O185" s="136">
        <f>(Table1368[[#This Row],[Prix total Achat]]*2)</f>
        <v>47.561442285714286</v>
      </c>
      <c r="P185" s="136">
        <f>Table1368[[#This Row],[Prix Min voulu (x2 )]]*1.2</f>
        <v>57.073730742857144</v>
      </c>
      <c r="Q185" s="134">
        <v>46141</v>
      </c>
      <c r="R185" s="134"/>
      <c r="S185" s="135"/>
      <c r="T185" s="134"/>
      <c r="U185" s="134" t="s">
        <v>157</v>
      </c>
      <c r="V185" s="137">
        <f>IF(ISBLANK(Table1368[[#This Row],[Date réception Achat]]),"",IF(ISBLANK(Table1368[[#This Row],[Date revente]]),TODAY(),Table1368[[#This Row],[Date revente]])-Table1368[[#This Row],[Date réception Achat]])</f>
        <v>164</v>
      </c>
      <c r="W18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85" s="135">
        <f>IF(Table1368[[#This Row],[Prix de revente]]="","",Table1368[[#This Row],[Prix de revente]]-Table1368[[#This Row],[Prix total Achat]])</f>
      </c>
      <c r="Y185" s="138">
        <f>IF(Table1368[[#This Row],[Prix de revente]]="","",(Table1368[[#This Row],[Prix de revente]]/Table1368[[#This Row],[Prix total Achat]]))</f>
      </c>
      <c r="Z185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85" s="139">
        <f>IF(ISBLANK(Table1368[[#This Row],[Date relisting]]),"",IF(ISBLANK(Table1368[[#This Row],[Date relisting]]),TODAY(),Table1368[[#This Row],[Date relisting]])-Table1368[[#This Row],[Date réception Achat]])</f>
        <v>2</v>
      </c>
      <c r="AB185" s="139">
        <f>IF(ISBLANK(Table1368[[#This Row],[Date revente]]),"",IF(ISBLANK(Table1368[[#This Row],[Date revente]]),TODAY(),Table1368[[#This Row],[Date revente]])-Table1368[[#This Row],[Date relisting]])</f>
      </c>
      <c r="AC185" s="139">
        <f>IF(ISBLANK(Table1368[[#This Row],[Date revente]]),"",IF(ISBLANK(Table1368[[#This Row],[Date revente]]),TODAY(),Table1368[[#This Row],[Date revente]])-Table1368[[#This Row],[Date réception Achat]])</f>
      </c>
      <c r="AD185" s="139">
        <f>IF(ISBLANK(Table1368[[#This Row],[Date revente]]),"",IF(ISBLANK(Table1368[[#This Row],[Date revente]]),TODAY(),Table1368[[#This Row],[Date revente]])-Table1368[[#This Row],[Date achat]])</f>
      </c>
    </row>
    <row r="186" spans="1:30" x14ac:dyDescent="0.25">
      <c r="A186" s="134">
        <v>46133</v>
      </c>
      <c r="B186" s="141" t="s">
        <v>584</v>
      </c>
      <c r="C186" s="134" t="s">
        <v>585</v>
      </c>
      <c r="D186" s="127" t="s">
        <v>574</v>
      </c>
      <c r="E186" s="127"/>
      <c r="F186" s="127"/>
      <c r="G186" s="134" t="s">
        <v>163</v>
      </c>
      <c r="H186" s="127" t="s">
        <v>178</v>
      </c>
      <c r="I186" s="134" t="s">
        <v>165</v>
      </c>
      <c r="J186" s="134" t="s">
        <v>157</v>
      </c>
      <c r="K186" s="135">
        <v>22.5445</v>
      </c>
      <c r="L186" s="135">
        <f>Table1368[[#This Row],[Prix total Achat]]-Table1368[[#This Row],[Prix article]]</f>
        <v>15.530721142857146</v>
      </c>
      <c r="M186" s="135">
        <v>38.075221142857146</v>
      </c>
      <c r="N186" s="134">
        <v>46139</v>
      </c>
      <c r="O186" s="136">
        <f>(Table1368[[#This Row],[Prix total Achat]]*2)</f>
        <v>76.15044228571429</v>
      </c>
      <c r="P186" s="136">
        <f>Table1368[[#This Row],[Prix Min voulu (x2 )]]*1.2</f>
        <v>91.38053074285715</v>
      </c>
      <c r="Q186" s="134">
        <v>46141</v>
      </c>
      <c r="R186" s="134">
        <v>46181</v>
      </c>
      <c r="S186" s="135">
        <v>75</v>
      </c>
      <c r="T186" s="134" t="s">
        <v>160</v>
      </c>
      <c r="U186" s="134" t="s">
        <v>157</v>
      </c>
      <c r="V186" s="137">
        <f>IF(ISBLANK(Table1368[[#This Row],[Date réception Achat]]),"",IF(ISBLANK(Table1368[[#This Row],[Date revente]]),TODAY(),Table1368[[#This Row],[Date revente]])-Table1368[[#This Row],[Date réception Achat]])</f>
        <v>42</v>
      </c>
      <c r="W18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6" s="135">
        <f>IF(Table1368[[#This Row],[Prix de revente]]="","",Table1368[[#This Row],[Prix de revente]]-Table1368[[#This Row],[Prix total Achat]])</f>
        <v>36.924778857142854</v>
      </c>
      <c r="Y186" s="138">
        <f>IF(Table1368[[#This Row],[Prix de revente]]="","",(Table1368[[#This Row],[Prix de revente]]/Table1368[[#This Row],[Prix total Achat]]))</f>
        <v>1.9697850136865163</v>
      </c>
      <c r="Z186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86" s="139">
        <f>IF(ISBLANK(Table1368[[#This Row],[Date relisting]]),"",IF(ISBLANK(Table1368[[#This Row],[Date relisting]]),TODAY(),Table1368[[#This Row],[Date relisting]])-Table1368[[#This Row],[Date réception Achat]])</f>
        <v>2</v>
      </c>
      <c r="AB186" s="139">
        <f>IF(ISBLANK(Table1368[[#This Row],[Date revente]]),"",IF(ISBLANK(Table1368[[#This Row],[Date revente]]),TODAY(),Table1368[[#This Row],[Date revente]])-Table1368[[#This Row],[Date relisting]])</f>
        <v>40</v>
      </c>
      <c r="AC186" s="139">
        <f>IF(ISBLANK(Table1368[[#This Row],[Date revente]]),"",IF(ISBLANK(Table1368[[#This Row],[Date revente]]),TODAY(),Table1368[[#This Row],[Date revente]])-Table1368[[#This Row],[Date réception Achat]])</f>
        <v>42</v>
      </c>
      <c r="AD186" s="139">
        <f>IF(ISBLANK(Table1368[[#This Row],[Date revente]]),"",IF(ISBLANK(Table1368[[#This Row],[Date revente]]),TODAY(),Table1368[[#This Row],[Date revente]])-Table1368[[#This Row],[Date achat]])</f>
        <v>48</v>
      </c>
    </row>
    <row r="187" spans="1:30" x14ac:dyDescent="0.25">
      <c r="A187" s="134">
        <v>46133</v>
      </c>
      <c r="B187" s="141" t="s">
        <v>586</v>
      </c>
      <c r="C187" s="134" t="s">
        <v>587</v>
      </c>
      <c r="D187" s="127" t="s">
        <v>574</v>
      </c>
      <c r="E187" s="127"/>
      <c r="F187" s="127"/>
      <c r="G187" s="134" t="s">
        <v>163</v>
      </c>
      <c r="H187" s="127" t="s">
        <v>174</v>
      </c>
      <c r="I187" s="134" t="s">
        <v>165</v>
      </c>
      <c r="J187" s="134" t="s">
        <v>157</v>
      </c>
      <c r="K187" s="135">
        <v>7.1445</v>
      </c>
      <c r="L187" s="135">
        <f>Table1368[[#This Row],[Prix total Achat]]-Table1368[[#This Row],[Prix article]]</f>
        <v>15.530721142857143</v>
      </c>
      <c r="M187" s="135">
        <v>22.675221142857144</v>
      </c>
      <c r="N187" s="134">
        <v>46139</v>
      </c>
      <c r="O187" s="136">
        <f>(Table1368[[#This Row],[Prix total Achat]]*2)</f>
        <v>45.35044228571429</v>
      </c>
      <c r="P187" s="136">
        <f>Table1368[[#This Row],[Prix Min voulu (x2 )]]*1.2</f>
        <v>54.420530742857146</v>
      </c>
      <c r="Q187" s="134">
        <v>46140</v>
      </c>
      <c r="R187" s="134">
        <v>46140</v>
      </c>
      <c r="S187" s="135">
        <v>50</v>
      </c>
      <c r="T187" s="134" t="s">
        <v>160</v>
      </c>
      <c r="U187" s="134" t="s">
        <v>157</v>
      </c>
      <c r="V187" s="137">
        <f>IF(ISBLANK(Table1368[[#This Row],[Date réception Achat]]),"",IF(ISBLANK(Table1368[[#This Row],[Date revente]]),TODAY(),Table1368[[#This Row],[Date revente]])-Table1368[[#This Row],[Date réception Achat]])</f>
        <v>1</v>
      </c>
      <c r="W18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7" s="135">
        <f>IF(Table1368[[#This Row],[Prix de revente]]="","",Table1368[[#This Row],[Prix de revente]]-Table1368[[#This Row],[Prix total Achat]])</f>
        <v>27.324778857142856</v>
      </c>
      <c r="Y187" s="138">
        <f>IF(Table1368[[#This Row],[Prix de revente]]="","",(Table1368[[#This Row],[Prix de revente]]/Table1368[[#This Row],[Prix total Achat]]))</f>
        <v>2.2050501595990104</v>
      </c>
      <c r="Z187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87" s="139">
        <f>IF(ISBLANK(Table1368[[#This Row],[Date relisting]]),"",IF(ISBLANK(Table1368[[#This Row],[Date relisting]]),TODAY(),Table1368[[#This Row],[Date relisting]])-Table1368[[#This Row],[Date réception Achat]])</f>
        <v>1</v>
      </c>
      <c r="AB187" s="139">
        <f>IF(ISBLANK(Table1368[[#This Row],[Date revente]]),"",IF(ISBLANK(Table1368[[#This Row],[Date revente]]),TODAY(),Table1368[[#This Row],[Date revente]])-Table1368[[#This Row],[Date relisting]])</f>
        <v>0</v>
      </c>
      <c r="AC187" s="139">
        <f>IF(ISBLANK(Table1368[[#This Row],[Date revente]]),"",IF(ISBLANK(Table1368[[#This Row],[Date revente]]),TODAY(),Table1368[[#This Row],[Date revente]])-Table1368[[#This Row],[Date réception Achat]])</f>
        <v>1</v>
      </c>
      <c r="AD187" s="139">
        <f>IF(ISBLANK(Table1368[[#This Row],[Date revente]]),"",IF(ISBLANK(Table1368[[#This Row],[Date revente]]),TODAY(),Table1368[[#This Row],[Date revente]])-Table1368[[#This Row],[Date achat]])</f>
        <v>7</v>
      </c>
    </row>
    <row r="188" spans="1:30" x14ac:dyDescent="0.25">
      <c r="A188" s="134">
        <v>46133</v>
      </c>
      <c r="B188" s="141" t="s">
        <v>588</v>
      </c>
      <c r="C188" s="134" t="s">
        <v>589</v>
      </c>
      <c r="D188" s="127" t="s">
        <v>574</v>
      </c>
      <c r="E188" s="127"/>
      <c r="F188" s="127"/>
      <c r="G188" s="134" t="s">
        <v>163</v>
      </c>
      <c r="H188" s="127" t="s">
        <v>174</v>
      </c>
      <c r="I188" s="134" t="s">
        <v>165</v>
      </c>
      <c r="J188" s="134" t="s">
        <v>157</v>
      </c>
      <c r="K188" s="135">
        <v>18.15</v>
      </c>
      <c r="L188" s="135">
        <f>Table1368[[#This Row],[Prix total Achat]]-Table1368[[#This Row],[Prix article]]</f>
        <v>15.53072114285714</v>
      </c>
      <c r="M188" s="135">
        <v>33.68072114285714</v>
      </c>
      <c r="N188" s="134">
        <v>46139</v>
      </c>
      <c r="O188" s="136">
        <f>(Table1368[[#This Row],[Prix total Achat]]*2)</f>
        <v>67.36144228571428</v>
      </c>
      <c r="P188" s="136">
        <f>Table1368[[#This Row],[Prix Min voulu (x2 )]]*1.2</f>
        <v>80.83373074285713</v>
      </c>
      <c r="Q188" s="134">
        <v>46140</v>
      </c>
      <c r="R188" s="134"/>
      <c r="S188" s="135"/>
      <c r="T188" s="134"/>
      <c r="U188" s="134" t="s">
        <v>157</v>
      </c>
      <c r="V188" s="137">
        <f>IF(ISBLANK(Table1368[[#This Row],[Date réception Achat]]),"",IF(ISBLANK(Table1368[[#This Row],[Date revente]]),TODAY(),Table1368[[#This Row],[Date revente]])-Table1368[[#This Row],[Date réception Achat]])</f>
        <v>164</v>
      </c>
      <c r="W18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88" s="135">
        <f>IF(Table1368[[#This Row],[Prix de revente]]="","",Table1368[[#This Row],[Prix de revente]]-Table1368[[#This Row],[Prix total Achat]])</f>
      </c>
      <c r="Y188" s="138">
        <f>IF(Table1368[[#This Row],[Prix de revente]]="","",(Table1368[[#This Row],[Prix de revente]]/Table1368[[#This Row],[Prix total Achat]]))</f>
      </c>
      <c r="Z188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88" s="139">
        <f>IF(ISBLANK(Table1368[[#This Row],[Date relisting]]),"",IF(ISBLANK(Table1368[[#This Row],[Date relisting]]),TODAY(),Table1368[[#This Row],[Date relisting]])-Table1368[[#This Row],[Date réception Achat]])</f>
        <v>1</v>
      </c>
      <c r="AB188" s="139">
        <f>IF(ISBLANK(Table1368[[#This Row],[Date revente]]),"",IF(ISBLANK(Table1368[[#This Row],[Date revente]]),TODAY(),Table1368[[#This Row],[Date revente]])-Table1368[[#This Row],[Date relisting]])</f>
      </c>
      <c r="AC188" s="139">
        <f>IF(ISBLANK(Table1368[[#This Row],[Date revente]]),"",IF(ISBLANK(Table1368[[#This Row],[Date revente]]),TODAY(),Table1368[[#This Row],[Date revente]])-Table1368[[#This Row],[Date réception Achat]])</f>
      </c>
      <c r="AD188" s="139">
        <f>IF(ISBLANK(Table1368[[#This Row],[Date revente]]),"",IF(ISBLANK(Table1368[[#This Row],[Date revente]]),TODAY(),Table1368[[#This Row],[Date revente]])-Table1368[[#This Row],[Date achat]])</f>
      </c>
    </row>
    <row r="189" spans="1:30" x14ac:dyDescent="0.25">
      <c r="A189" s="134">
        <v>46133</v>
      </c>
      <c r="B189" s="141" t="s">
        <v>590</v>
      </c>
      <c r="C189" s="134" t="s">
        <v>591</v>
      </c>
      <c r="D189" s="127" t="s">
        <v>592</v>
      </c>
      <c r="E189" s="127"/>
      <c r="F189" s="127"/>
      <c r="G189" s="134" t="s">
        <v>593</v>
      </c>
      <c r="H189" s="127" t="s">
        <v>583</v>
      </c>
      <c r="I189" s="134" t="s">
        <v>165</v>
      </c>
      <c r="J189" s="134" t="s">
        <v>157</v>
      </c>
      <c r="K189" s="135">
        <v>42.349999999999994</v>
      </c>
      <c r="L189" s="135">
        <f>Table1368[[#This Row],[Prix total Achat]]-Table1368[[#This Row],[Prix article]]</f>
        <v>15.530721142857146</v>
      </c>
      <c r="M189" s="135">
        <v>57.88072114285714</v>
      </c>
      <c r="N189" s="134">
        <v>46139</v>
      </c>
      <c r="O189" s="136">
        <f>(Table1368[[#This Row],[Prix total Achat]]*2)</f>
        <v>115.76144228571428</v>
      </c>
      <c r="P189" s="136">
        <f>Table1368[[#This Row],[Prix Min voulu (x2 )]]*1.2</f>
        <v>138.91373074285713</v>
      </c>
      <c r="Q189" s="134">
        <v>46139</v>
      </c>
      <c r="R189" s="134">
        <v>46285</v>
      </c>
      <c r="S189" s="135">
        <v>95</v>
      </c>
      <c r="T189" s="134" t="s">
        <v>160</v>
      </c>
      <c r="U189" s="134" t="s">
        <v>157</v>
      </c>
      <c r="V189" s="137">
        <f>IF(ISBLANK(Table1368[[#This Row],[Date réception Achat]]),"",IF(ISBLANK(Table1368[[#This Row],[Date revente]]),TODAY(),Table1368[[#This Row],[Date revente]])-Table1368[[#This Row],[Date réception Achat]])</f>
        <v>146</v>
      </c>
      <c r="W18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89" s="135">
        <f>IF(Table1368[[#This Row],[Prix de revente]]="","",Table1368[[#This Row],[Prix de revente]]-Table1368[[#This Row],[Prix total Achat]])</f>
        <v>37.11927885714286</v>
      </c>
      <c r="Y189" s="138">
        <f>IF(Table1368[[#This Row],[Prix de revente]]="","",(Table1368[[#This Row],[Prix de revente]]/Table1368[[#This Row],[Prix total Achat]]))</f>
        <v>1.6413064337178462</v>
      </c>
      <c r="Z189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89" s="139">
        <f>IF(ISBLANK(Table1368[[#This Row],[Date relisting]]),"",IF(ISBLANK(Table1368[[#This Row],[Date relisting]]),TODAY(),Table1368[[#This Row],[Date relisting]])-Table1368[[#This Row],[Date réception Achat]])</f>
        <v>0</v>
      </c>
      <c r="AB189" s="139">
        <f>IF(ISBLANK(Table1368[[#This Row],[Date revente]]),"",IF(ISBLANK(Table1368[[#This Row],[Date revente]]),TODAY(),Table1368[[#This Row],[Date revente]])-Table1368[[#This Row],[Date relisting]])</f>
        <v>146</v>
      </c>
      <c r="AC189" s="139">
        <f>IF(ISBLANK(Table1368[[#This Row],[Date revente]]),"",IF(ISBLANK(Table1368[[#This Row],[Date revente]]),TODAY(),Table1368[[#This Row],[Date revente]])-Table1368[[#This Row],[Date réception Achat]])</f>
        <v>146</v>
      </c>
      <c r="AD189" s="139">
        <f>IF(ISBLANK(Table1368[[#This Row],[Date revente]]),"",IF(ISBLANK(Table1368[[#This Row],[Date revente]]),TODAY(),Table1368[[#This Row],[Date revente]])-Table1368[[#This Row],[Date achat]])</f>
        <v>152</v>
      </c>
    </row>
    <row r="190" spans="1:30" x14ac:dyDescent="0.25">
      <c r="A190" s="134">
        <v>46133</v>
      </c>
      <c r="B190" s="141" t="s">
        <v>594</v>
      </c>
      <c r="C190" s="134" t="s">
        <v>595</v>
      </c>
      <c r="D190" s="127" t="s">
        <v>592</v>
      </c>
      <c r="E190" s="127"/>
      <c r="F190" s="127"/>
      <c r="G190" s="134" t="s">
        <v>392</v>
      </c>
      <c r="H190" s="127" t="s">
        <v>178</v>
      </c>
      <c r="I190" s="134" t="s">
        <v>165</v>
      </c>
      <c r="J190" s="134" t="s">
        <v>157</v>
      </c>
      <c r="K190" s="135">
        <v>33</v>
      </c>
      <c r="L190" s="135">
        <f>Table1368[[#This Row],[Prix total Achat]]-Table1368[[#This Row],[Prix article]]</f>
        <v>15.530721142857146</v>
      </c>
      <c r="M190" s="135">
        <v>48.530721142857146</v>
      </c>
      <c r="N190" s="134">
        <v>46139</v>
      </c>
      <c r="O190" s="136">
        <f>(Table1368[[#This Row],[Prix total Achat]]*2)</f>
        <v>97.06144228571429</v>
      </c>
      <c r="P190" s="136">
        <f>Table1368[[#This Row],[Prix Min voulu (x2 )]]*1.2</f>
        <v>116.47373074285714</v>
      </c>
      <c r="Q190" s="134">
        <v>46140</v>
      </c>
      <c r="R190" s="134">
        <v>46145</v>
      </c>
      <c r="S190" s="135">
        <v>110</v>
      </c>
      <c r="T190" s="134" t="s">
        <v>160</v>
      </c>
      <c r="U190" s="134" t="s">
        <v>157</v>
      </c>
      <c r="V190" s="137">
        <f>IF(ISBLANK(Table1368[[#This Row],[Date réception Achat]]),"",IF(ISBLANK(Table1368[[#This Row],[Date revente]]),TODAY(),Table1368[[#This Row],[Date revente]])-Table1368[[#This Row],[Date réception Achat]])</f>
        <v>6</v>
      </c>
      <c r="W19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0" s="135">
        <f>IF(Table1368[[#This Row],[Prix de revente]]="","",Table1368[[#This Row],[Prix de revente]]-Table1368[[#This Row],[Prix total Achat]])</f>
        <v>61.469278857142854</v>
      </c>
      <c r="Y190" s="138">
        <f>IF(Table1368[[#This Row],[Prix de revente]]="","",(Table1368[[#This Row],[Prix de revente]]/Table1368[[#This Row],[Prix total Achat]]))</f>
        <v>2.2666055110988195</v>
      </c>
      <c r="Z190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90" s="139">
        <f>IF(ISBLANK(Table1368[[#This Row],[Date relisting]]),"",IF(ISBLANK(Table1368[[#This Row],[Date relisting]]),TODAY(),Table1368[[#This Row],[Date relisting]])-Table1368[[#This Row],[Date réception Achat]])</f>
        <v>1</v>
      </c>
      <c r="AB190" s="139">
        <f>IF(ISBLANK(Table1368[[#This Row],[Date revente]]),"",IF(ISBLANK(Table1368[[#This Row],[Date revente]]),TODAY(),Table1368[[#This Row],[Date revente]])-Table1368[[#This Row],[Date relisting]])</f>
        <v>5</v>
      </c>
      <c r="AC190" s="139">
        <f>IF(ISBLANK(Table1368[[#This Row],[Date revente]]),"",IF(ISBLANK(Table1368[[#This Row],[Date revente]]),TODAY(),Table1368[[#This Row],[Date revente]])-Table1368[[#This Row],[Date réception Achat]])</f>
        <v>6</v>
      </c>
      <c r="AD190" s="139">
        <f>IF(ISBLANK(Table1368[[#This Row],[Date revente]]),"",IF(ISBLANK(Table1368[[#This Row],[Date revente]]),TODAY(),Table1368[[#This Row],[Date revente]])-Table1368[[#This Row],[Date achat]])</f>
        <v>12</v>
      </c>
    </row>
    <row r="191" spans="1:30" x14ac:dyDescent="0.25">
      <c r="A191" s="134">
        <v>46133</v>
      </c>
      <c r="B191" s="143" t="s">
        <v>596</v>
      </c>
      <c r="C191" s="134" t="s">
        <v>597</v>
      </c>
      <c r="D191" s="127" t="s">
        <v>592</v>
      </c>
      <c r="E191" s="127"/>
      <c r="F191" s="127"/>
      <c r="G191" s="134" t="s">
        <v>163</v>
      </c>
      <c r="H191" s="127" t="s">
        <v>178</v>
      </c>
      <c r="I191" s="134" t="s">
        <v>165</v>
      </c>
      <c r="J191" s="134" t="s">
        <v>157</v>
      </c>
      <c r="K191" s="135">
        <v>11</v>
      </c>
      <c r="L191" s="135">
        <f>Table1368[[#This Row],[Prix total Achat]]-Table1368[[#This Row],[Prix article]]</f>
        <v>15.530721142857143</v>
      </c>
      <c r="M191" s="135">
        <v>26.530721142857143</v>
      </c>
      <c r="N191" s="134">
        <v>46139</v>
      </c>
      <c r="O191" s="136">
        <f>(Table1368[[#This Row],[Prix total Achat]]*2)</f>
        <v>53.061442285714286</v>
      </c>
      <c r="P191" s="136">
        <f>Table1368[[#This Row],[Prix Min voulu (x2 )]]*1.2</f>
        <v>63.67373074285714</v>
      </c>
      <c r="Q191" s="134">
        <v>46141</v>
      </c>
      <c r="R191" s="134"/>
      <c r="S191" s="135"/>
      <c r="T191" s="134"/>
      <c r="U191" s="134" t="s">
        <v>157</v>
      </c>
      <c r="V191" s="137">
        <f>IF(ISBLANK(Table1368[[#This Row],[Date réception Achat]]),"",IF(ISBLANK(Table1368[[#This Row],[Date revente]]),TODAY(),Table1368[[#This Row],[Date revente]])-Table1368[[#This Row],[Date réception Achat]])</f>
        <v>164</v>
      </c>
      <c r="W19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191" s="135">
        <f>IF(Table1368[[#This Row],[Prix de revente]]="","",Table1368[[#This Row],[Prix de revente]]-Table1368[[#This Row],[Prix total Achat]])</f>
      </c>
      <c r="Y191" s="138">
        <f>IF(Table1368[[#This Row],[Prix de revente]]="","",(Table1368[[#This Row],[Prix de revente]]/Table1368[[#This Row],[Prix total Achat]]))</f>
      </c>
      <c r="Z191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91" s="139">
        <f>IF(ISBLANK(Table1368[[#This Row],[Date relisting]]),"",IF(ISBLANK(Table1368[[#This Row],[Date relisting]]),TODAY(),Table1368[[#This Row],[Date relisting]])-Table1368[[#This Row],[Date réception Achat]])</f>
        <v>2</v>
      </c>
      <c r="AB191" s="139">
        <f>IF(ISBLANK(Table1368[[#This Row],[Date revente]]),"",IF(ISBLANK(Table1368[[#This Row],[Date revente]]),TODAY(),Table1368[[#This Row],[Date revente]])-Table1368[[#This Row],[Date relisting]])</f>
      </c>
      <c r="AC191" s="139">
        <f>IF(ISBLANK(Table1368[[#This Row],[Date revente]]),"",IF(ISBLANK(Table1368[[#This Row],[Date revente]]),TODAY(),Table1368[[#This Row],[Date revente]])-Table1368[[#This Row],[Date réception Achat]])</f>
      </c>
      <c r="AD191" s="139">
        <f>IF(ISBLANK(Table1368[[#This Row],[Date revente]]),"",IF(ISBLANK(Table1368[[#This Row],[Date revente]]),TODAY(),Table1368[[#This Row],[Date revente]])-Table1368[[#This Row],[Date achat]])</f>
      </c>
    </row>
    <row r="192" spans="1:30" x14ac:dyDescent="0.25">
      <c r="A192" s="134">
        <v>46135</v>
      </c>
      <c r="B192" s="141" t="s">
        <v>598</v>
      </c>
      <c r="C192" s="134" t="s">
        <v>599</v>
      </c>
      <c r="D192" s="127" t="s">
        <v>592</v>
      </c>
      <c r="E192" s="127"/>
      <c r="F192" s="127"/>
      <c r="G192" s="147" t="s">
        <v>600</v>
      </c>
      <c r="H192" s="155" t="s">
        <v>174</v>
      </c>
      <c r="I192" s="134" t="s">
        <v>165</v>
      </c>
      <c r="J192" s="134" t="s">
        <v>157</v>
      </c>
      <c r="K192" s="135">
        <v>13.75</v>
      </c>
      <c r="L192" s="135">
        <f>Table1368[[#This Row],[Prix total Achat]]-Table1368[[#This Row],[Prix article]]</f>
        <v>13.941499999999998</v>
      </c>
      <c r="M192" s="135">
        <v>27.691499999999998</v>
      </c>
      <c r="N192" s="134">
        <v>46144</v>
      </c>
      <c r="O192" s="136">
        <f>(Table1368[[#This Row],[Prix total Achat]]*2)</f>
        <v>55.382999999999996</v>
      </c>
      <c r="P192" s="136">
        <f>Table1368[[#This Row],[Prix Min voulu (x2 )]]*1.2</f>
        <v>66.4596</v>
      </c>
      <c r="Q192" s="134">
        <v>46147</v>
      </c>
      <c r="R192" s="134">
        <v>46174</v>
      </c>
      <c r="S192" s="135">
        <v>56.66</v>
      </c>
      <c r="T192" s="134" t="s">
        <v>160</v>
      </c>
      <c r="U192" s="134" t="s">
        <v>261</v>
      </c>
      <c r="V192" s="137">
        <f>IF(ISBLANK(Table1368[[#This Row],[Date réception Achat]]),"",IF(ISBLANK(Table1368[[#This Row],[Date revente]]),TODAY(),Table1368[[#This Row],[Date revente]])-Table1368[[#This Row],[Date réception Achat]])</f>
        <v>30</v>
      </c>
      <c r="W19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2" s="135">
        <f>IF(Table1368[[#This Row],[Prix de revente]]="","",Table1368[[#This Row],[Prix de revente]]-Table1368[[#This Row],[Prix total Achat]])</f>
        <v>28.9685</v>
      </c>
      <c r="Y192" s="138">
        <f>IF(Table1368[[#This Row],[Prix de revente]]="","",(Table1368[[#This Row],[Prix de revente]]/Table1368[[#This Row],[Prix total Achat]]))</f>
        <v>2.0461152339165447</v>
      </c>
      <c r="Z192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192" s="139">
        <f>IF(ISBLANK(Table1368[[#This Row],[Date relisting]]),"",IF(ISBLANK(Table1368[[#This Row],[Date relisting]]),TODAY(),Table1368[[#This Row],[Date relisting]])-Table1368[[#This Row],[Date réception Achat]])</f>
        <v>3</v>
      </c>
      <c r="AB192" s="139">
        <f>IF(ISBLANK(Table1368[[#This Row],[Date revente]]),"",IF(ISBLANK(Table1368[[#This Row],[Date revente]]),TODAY(),Table1368[[#This Row],[Date revente]])-Table1368[[#This Row],[Date relisting]])</f>
        <v>27</v>
      </c>
      <c r="AC192" s="139">
        <f>IF(ISBLANK(Table1368[[#This Row],[Date revente]]),"",IF(ISBLANK(Table1368[[#This Row],[Date revente]]),TODAY(),Table1368[[#This Row],[Date revente]])-Table1368[[#This Row],[Date réception Achat]])</f>
        <v>30</v>
      </c>
      <c r="AD192" s="139">
        <f>IF(ISBLANK(Table1368[[#This Row],[Date revente]]),"",IF(ISBLANK(Table1368[[#This Row],[Date revente]]),TODAY(),Table1368[[#This Row],[Date revente]])-Table1368[[#This Row],[Date achat]])</f>
        <v>39</v>
      </c>
    </row>
    <row r="193" spans="1:30" x14ac:dyDescent="0.25">
      <c r="A193" s="134">
        <v>46135</v>
      </c>
      <c r="B193" s="141" t="s">
        <v>601</v>
      </c>
      <c r="C193" s="134" t="s">
        <v>602</v>
      </c>
      <c r="D193" s="127" t="s">
        <v>592</v>
      </c>
      <c r="E193" s="127"/>
      <c r="F193" s="127"/>
      <c r="G193" s="147" t="s">
        <v>600</v>
      </c>
      <c r="H193" s="155" t="s">
        <v>174</v>
      </c>
      <c r="I193" s="134" t="s">
        <v>165</v>
      </c>
      <c r="J193" s="134" t="s">
        <v>157</v>
      </c>
      <c r="K193" s="135">
        <v>13.75</v>
      </c>
      <c r="L193" s="135">
        <f>Table1368[[#This Row],[Prix total Achat]]-Table1368[[#This Row],[Prix article]]</f>
        <v>13.941499999999998</v>
      </c>
      <c r="M193" s="135">
        <v>27.691499999999998</v>
      </c>
      <c r="N193" s="134">
        <v>46144</v>
      </c>
      <c r="O193" s="136">
        <f>(Table1368[[#This Row],[Prix total Achat]]*2)</f>
        <v>55.382999999999996</v>
      </c>
      <c r="P193" s="136">
        <f>Table1368[[#This Row],[Prix Min voulu (x2 )]]*1.2</f>
        <v>66.4596</v>
      </c>
      <c r="Q193" s="134">
        <v>46147</v>
      </c>
      <c r="R193" s="134">
        <v>46174</v>
      </c>
      <c r="S193" s="135">
        <v>56.66</v>
      </c>
      <c r="T193" s="134" t="s">
        <v>160</v>
      </c>
      <c r="U193" s="134" t="s">
        <v>261</v>
      </c>
      <c r="V193" s="137">
        <f>IF(ISBLANK(Table1368[[#This Row],[Date réception Achat]]),"",IF(ISBLANK(Table1368[[#This Row],[Date revente]]),TODAY(),Table1368[[#This Row],[Date revente]])-Table1368[[#This Row],[Date réception Achat]])</f>
        <v>30</v>
      </c>
      <c r="W19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3" s="135">
        <f>IF(Table1368[[#This Row],[Prix de revente]]="","",Table1368[[#This Row],[Prix de revente]]-Table1368[[#This Row],[Prix total Achat]])</f>
        <v>28.9685</v>
      </c>
      <c r="Y193" s="138">
        <f>IF(Table1368[[#This Row],[Prix de revente]]="","",(Table1368[[#This Row],[Prix de revente]]/Table1368[[#This Row],[Prix total Achat]]))</f>
        <v>2.0461152339165447</v>
      </c>
      <c r="Z193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193" s="139">
        <f>IF(ISBLANK(Table1368[[#This Row],[Date relisting]]),"",IF(ISBLANK(Table1368[[#This Row],[Date relisting]]),TODAY(),Table1368[[#This Row],[Date relisting]])-Table1368[[#This Row],[Date réception Achat]])</f>
        <v>3</v>
      </c>
      <c r="AB193" s="139">
        <f>IF(ISBLANK(Table1368[[#This Row],[Date revente]]),"",IF(ISBLANK(Table1368[[#This Row],[Date revente]]),TODAY(),Table1368[[#This Row],[Date revente]])-Table1368[[#This Row],[Date relisting]])</f>
        <v>27</v>
      </c>
      <c r="AC193" s="139">
        <f>IF(ISBLANK(Table1368[[#This Row],[Date revente]]),"",IF(ISBLANK(Table1368[[#This Row],[Date revente]]),TODAY(),Table1368[[#This Row],[Date revente]])-Table1368[[#This Row],[Date réception Achat]])</f>
        <v>30</v>
      </c>
      <c r="AD193" s="139">
        <f>IF(ISBLANK(Table1368[[#This Row],[Date revente]]),"",IF(ISBLANK(Table1368[[#This Row],[Date revente]]),TODAY(),Table1368[[#This Row],[Date revente]])-Table1368[[#This Row],[Date achat]])</f>
        <v>39</v>
      </c>
    </row>
    <row r="194" spans="1:30" x14ac:dyDescent="0.25">
      <c r="A194" s="134">
        <v>46135</v>
      </c>
      <c r="B194" s="141" t="s">
        <v>603</v>
      </c>
      <c r="C194" s="134" t="s">
        <v>604</v>
      </c>
      <c r="D194" s="127" t="s">
        <v>592</v>
      </c>
      <c r="E194" s="127"/>
      <c r="F194" s="127"/>
      <c r="G194" s="147" t="s">
        <v>600</v>
      </c>
      <c r="H194" s="155" t="s">
        <v>174</v>
      </c>
      <c r="I194" s="134" t="s">
        <v>165</v>
      </c>
      <c r="J194" s="134" t="s">
        <v>157</v>
      </c>
      <c r="K194" s="135">
        <v>13.75</v>
      </c>
      <c r="L194" s="135">
        <f>Table1368[[#This Row],[Prix total Achat]]-Table1368[[#This Row],[Prix article]]</f>
        <v>13.941499999999998</v>
      </c>
      <c r="M194" s="135">
        <v>27.691499999999998</v>
      </c>
      <c r="N194" s="134">
        <v>46144</v>
      </c>
      <c r="O194" s="136">
        <f>(Table1368[[#This Row],[Prix total Achat]]*2)</f>
        <v>55.382999999999996</v>
      </c>
      <c r="P194" s="136">
        <f>Table1368[[#This Row],[Prix Min voulu (x2 )]]*1.2</f>
        <v>66.4596</v>
      </c>
      <c r="Q194" s="134">
        <v>46147</v>
      </c>
      <c r="R194" s="134">
        <v>46174</v>
      </c>
      <c r="S194" s="135">
        <v>56.66</v>
      </c>
      <c r="T194" s="134" t="s">
        <v>160</v>
      </c>
      <c r="U194" s="134" t="s">
        <v>261</v>
      </c>
      <c r="V194" s="137">
        <f>IF(ISBLANK(Table1368[[#This Row],[Date réception Achat]]),"",IF(ISBLANK(Table1368[[#This Row],[Date revente]]),TODAY(),Table1368[[#This Row],[Date revente]])-Table1368[[#This Row],[Date réception Achat]])</f>
        <v>30</v>
      </c>
      <c r="W19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4" s="135">
        <f>IF(Table1368[[#This Row],[Prix de revente]]="","",Table1368[[#This Row],[Prix de revente]]-Table1368[[#This Row],[Prix total Achat]])</f>
        <v>28.9685</v>
      </c>
      <c r="Y194" s="138">
        <f>IF(Table1368[[#This Row],[Prix de revente]]="","",(Table1368[[#This Row],[Prix de revente]]/Table1368[[#This Row],[Prix total Achat]]))</f>
        <v>2.0461152339165447</v>
      </c>
      <c r="Z194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194" s="139">
        <f>IF(ISBLANK(Table1368[[#This Row],[Date relisting]]),"",IF(ISBLANK(Table1368[[#This Row],[Date relisting]]),TODAY(),Table1368[[#This Row],[Date relisting]])-Table1368[[#This Row],[Date réception Achat]])</f>
        <v>3</v>
      </c>
      <c r="AB194" s="139">
        <f>IF(ISBLANK(Table1368[[#This Row],[Date revente]]),"",IF(ISBLANK(Table1368[[#This Row],[Date revente]]),TODAY(),Table1368[[#This Row],[Date revente]])-Table1368[[#This Row],[Date relisting]])</f>
        <v>27</v>
      </c>
      <c r="AC194" s="139">
        <f>IF(ISBLANK(Table1368[[#This Row],[Date revente]]),"",IF(ISBLANK(Table1368[[#This Row],[Date revente]]),TODAY(),Table1368[[#This Row],[Date revente]])-Table1368[[#This Row],[Date réception Achat]])</f>
        <v>30</v>
      </c>
      <c r="AD194" s="139">
        <f>IF(ISBLANK(Table1368[[#This Row],[Date revente]]),"",IF(ISBLANK(Table1368[[#This Row],[Date revente]]),TODAY(),Table1368[[#This Row],[Date revente]])-Table1368[[#This Row],[Date achat]])</f>
        <v>39</v>
      </c>
    </row>
    <row r="195" spans="1:30" x14ac:dyDescent="0.25">
      <c r="A195" s="134">
        <v>46135</v>
      </c>
      <c r="B195" s="141" t="s">
        <v>605</v>
      </c>
      <c r="C195" s="134" t="s">
        <v>606</v>
      </c>
      <c r="D195" s="127" t="s">
        <v>607</v>
      </c>
      <c r="E195" s="127"/>
      <c r="F195" s="127"/>
      <c r="G195" s="147" t="s">
        <v>408</v>
      </c>
      <c r="H195" s="155" t="s">
        <v>178</v>
      </c>
      <c r="I195" s="134" t="s">
        <v>165</v>
      </c>
      <c r="J195" s="134" t="s">
        <v>157</v>
      </c>
      <c r="K195" s="135">
        <v>27.5</v>
      </c>
      <c r="L195" s="135">
        <f>Table1368[[#This Row],[Prix total Achat]]-Table1368[[#This Row],[Prix article]]</f>
        <v>13.941499999999998</v>
      </c>
      <c r="M195" s="135">
        <v>41.4415</v>
      </c>
      <c r="N195" s="134">
        <v>46144</v>
      </c>
      <c r="O195" s="136">
        <f>(Table1368[[#This Row],[Prix total Achat]]*2)</f>
        <v>82.883</v>
      </c>
      <c r="P195" s="136">
        <f>Table1368[[#This Row],[Prix Min voulu (x2 )]]*1.2</f>
        <v>99.4596</v>
      </c>
      <c r="Q195" s="134">
        <v>46146</v>
      </c>
      <c r="R195" s="134">
        <v>46154</v>
      </c>
      <c r="S195" s="135">
        <v>99</v>
      </c>
      <c r="T195" s="134" t="s">
        <v>160</v>
      </c>
      <c r="U195" s="134" t="s">
        <v>157</v>
      </c>
      <c r="V195" s="137">
        <f>IF(ISBLANK(Table1368[[#This Row],[Date réception Achat]]),"",IF(ISBLANK(Table1368[[#This Row],[Date revente]]),TODAY(),Table1368[[#This Row],[Date revente]])-Table1368[[#This Row],[Date réception Achat]])</f>
        <v>10</v>
      </c>
      <c r="W19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5" s="135">
        <f>IF(Table1368[[#This Row],[Prix de revente]]="","",Table1368[[#This Row],[Prix de revente]]-Table1368[[#This Row],[Prix total Achat]])</f>
        <v>57.5585</v>
      </c>
      <c r="Y195" s="138">
        <f>IF(Table1368[[#This Row],[Prix de revente]]="","",(Table1368[[#This Row],[Prix de revente]]/Table1368[[#This Row],[Prix total Achat]]))</f>
        <v>2.388909667845035</v>
      </c>
      <c r="Z195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195" s="139">
        <f>IF(ISBLANK(Table1368[[#This Row],[Date relisting]]),"",IF(ISBLANK(Table1368[[#This Row],[Date relisting]]),TODAY(),Table1368[[#This Row],[Date relisting]])-Table1368[[#This Row],[Date réception Achat]])</f>
        <v>2</v>
      </c>
      <c r="AB195" s="139">
        <f>IF(ISBLANK(Table1368[[#This Row],[Date revente]]),"",IF(ISBLANK(Table1368[[#This Row],[Date revente]]),TODAY(),Table1368[[#This Row],[Date revente]])-Table1368[[#This Row],[Date relisting]])</f>
        <v>8</v>
      </c>
      <c r="AC195" s="139">
        <f>IF(ISBLANK(Table1368[[#This Row],[Date revente]]),"",IF(ISBLANK(Table1368[[#This Row],[Date revente]]),TODAY(),Table1368[[#This Row],[Date revente]])-Table1368[[#This Row],[Date réception Achat]])</f>
        <v>10</v>
      </c>
      <c r="AD195" s="139">
        <f>IF(ISBLANK(Table1368[[#This Row],[Date revente]]),"",IF(ISBLANK(Table1368[[#This Row],[Date revente]]),TODAY(),Table1368[[#This Row],[Date revente]])-Table1368[[#This Row],[Date achat]])</f>
        <v>19</v>
      </c>
    </row>
    <row r="196" spans="1:30" x14ac:dyDescent="0.25">
      <c r="A196" s="134">
        <v>46135</v>
      </c>
      <c r="B196" s="141" t="s">
        <v>608</v>
      </c>
      <c r="C196" s="134" t="s">
        <v>609</v>
      </c>
      <c r="D196" s="127" t="s">
        <v>607</v>
      </c>
      <c r="E196" s="127"/>
      <c r="F196" s="127"/>
      <c r="G196" s="147" t="s">
        <v>502</v>
      </c>
      <c r="H196" s="155" t="s">
        <v>178</v>
      </c>
      <c r="I196" s="134" t="s">
        <v>165</v>
      </c>
      <c r="J196" s="134" t="s">
        <v>157</v>
      </c>
      <c r="K196" s="135">
        <v>38.5</v>
      </c>
      <c r="L196" s="135">
        <f>Table1368[[#This Row],[Prix total Achat]]-Table1368[[#This Row],[Prix article]]</f>
        <v>13.941499999999998</v>
      </c>
      <c r="M196" s="135">
        <v>52.4415</v>
      </c>
      <c r="N196" s="134">
        <v>46144</v>
      </c>
      <c r="O196" s="136">
        <f>(Table1368[[#This Row],[Prix total Achat]]*2)</f>
        <v>104.883</v>
      </c>
      <c r="P196" s="136">
        <f>Table1368[[#This Row],[Prix Min voulu (x2 )]]*1.2</f>
        <v>125.85959999999999</v>
      </c>
      <c r="Q196" s="134">
        <v>46146</v>
      </c>
      <c r="R196" s="134">
        <v>46239</v>
      </c>
      <c r="S196" s="135">
        <v>96.42</v>
      </c>
      <c r="T196" s="134" t="s">
        <v>160</v>
      </c>
      <c r="U196" s="134" t="s">
        <v>261</v>
      </c>
      <c r="V196" s="137">
        <f>IF(ISBLANK(Table1368[[#This Row],[Date réception Achat]]),"",IF(ISBLANK(Table1368[[#This Row],[Date revente]]),TODAY(),Table1368[[#This Row],[Date revente]])-Table1368[[#This Row],[Date réception Achat]])</f>
        <v>95</v>
      </c>
      <c r="W19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6" s="135">
        <f>IF(Table1368[[#This Row],[Prix de revente]]="","",Table1368[[#This Row],[Prix de revente]]-Table1368[[#This Row],[Prix total Achat]])</f>
        <v>43.978500000000004</v>
      </c>
      <c r="Y196" s="138">
        <f>IF(Table1368[[#This Row],[Prix de revente]]="","",(Table1368[[#This Row],[Prix de revente]]/Table1368[[#This Row],[Prix total Achat]]))</f>
        <v>1.8386201767683992</v>
      </c>
      <c r="Z196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196" s="139">
        <f>IF(ISBLANK(Table1368[[#This Row],[Date relisting]]),"",IF(ISBLANK(Table1368[[#This Row],[Date relisting]]),TODAY(),Table1368[[#This Row],[Date relisting]])-Table1368[[#This Row],[Date réception Achat]])</f>
        <v>2</v>
      </c>
      <c r="AB196" s="139">
        <f>IF(ISBLANK(Table1368[[#This Row],[Date revente]]),"",IF(ISBLANK(Table1368[[#This Row],[Date revente]]),TODAY(),Table1368[[#This Row],[Date revente]])-Table1368[[#This Row],[Date relisting]])</f>
        <v>93</v>
      </c>
      <c r="AC196" s="139">
        <f>IF(ISBLANK(Table1368[[#This Row],[Date revente]]),"",IF(ISBLANK(Table1368[[#This Row],[Date revente]]),TODAY(),Table1368[[#This Row],[Date revente]])-Table1368[[#This Row],[Date réception Achat]])</f>
        <v>95</v>
      </c>
      <c r="AD196" s="139">
        <f>IF(ISBLANK(Table1368[[#This Row],[Date revente]]),"",IF(ISBLANK(Table1368[[#This Row],[Date revente]]),TODAY(),Table1368[[#This Row],[Date revente]])-Table1368[[#This Row],[Date achat]])</f>
        <v>104</v>
      </c>
    </row>
    <row r="197" spans="1:30" x14ac:dyDescent="0.25">
      <c r="A197" s="134">
        <v>46135</v>
      </c>
      <c r="B197" s="141" t="s">
        <v>610</v>
      </c>
      <c r="C197" s="134" t="s">
        <v>611</v>
      </c>
      <c r="D197" s="127" t="s">
        <v>607</v>
      </c>
      <c r="E197" s="127"/>
      <c r="F197" s="127"/>
      <c r="G197" s="147" t="s">
        <v>329</v>
      </c>
      <c r="H197" s="155" t="s">
        <v>178</v>
      </c>
      <c r="I197" s="134" t="s">
        <v>165</v>
      </c>
      <c r="J197" s="134" t="s">
        <v>157</v>
      </c>
      <c r="K197" s="135">
        <v>27.5</v>
      </c>
      <c r="L197" s="135">
        <f>Table1368[[#This Row],[Prix total Achat]]-Table1368[[#This Row],[Prix article]]</f>
        <v>13.941499999999998</v>
      </c>
      <c r="M197" s="135">
        <v>41.4415</v>
      </c>
      <c r="N197" s="134">
        <v>46144</v>
      </c>
      <c r="O197" s="136">
        <f>(Table1368[[#This Row],[Prix total Achat]]*2)</f>
        <v>82.883</v>
      </c>
      <c r="P197" s="136">
        <f>Table1368[[#This Row],[Prix Min voulu (x2 )]]*1.2</f>
        <v>99.4596</v>
      </c>
      <c r="Q197" s="134">
        <v>46146</v>
      </c>
      <c r="R197" s="134">
        <v>46170</v>
      </c>
      <c r="S197" s="135">
        <v>90</v>
      </c>
      <c r="T197" s="134" t="s">
        <v>160</v>
      </c>
      <c r="U197" s="134" t="s">
        <v>157</v>
      </c>
      <c r="V197" s="137">
        <f>IF(ISBLANK(Table1368[[#This Row],[Date réception Achat]]),"",IF(ISBLANK(Table1368[[#This Row],[Date revente]]),TODAY(),Table1368[[#This Row],[Date revente]])-Table1368[[#This Row],[Date réception Achat]])</f>
        <v>26</v>
      </c>
      <c r="W19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7" s="135">
        <f>IF(Table1368[[#This Row],[Prix de revente]]="","",Table1368[[#This Row],[Prix de revente]]-Table1368[[#This Row],[Prix total Achat]])</f>
        <v>48.5585</v>
      </c>
      <c r="Y197" s="138">
        <f>IF(Table1368[[#This Row],[Prix de revente]]="","",(Table1368[[#This Row],[Prix de revente]]/Table1368[[#This Row],[Prix total Achat]]))</f>
        <v>2.1717360616773043</v>
      </c>
      <c r="Z197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197" s="139">
        <f>IF(ISBLANK(Table1368[[#This Row],[Date relisting]]),"",IF(ISBLANK(Table1368[[#This Row],[Date relisting]]),TODAY(),Table1368[[#This Row],[Date relisting]])-Table1368[[#This Row],[Date réception Achat]])</f>
        <v>2</v>
      </c>
      <c r="AB197" s="139">
        <f>IF(ISBLANK(Table1368[[#This Row],[Date revente]]),"",IF(ISBLANK(Table1368[[#This Row],[Date revente]]),TODAY(),Table1368[[#This Row],[Date revente]])-Table1368[[#This Row],[Date relisting]])</f>
        <v>24</v>
      </c>
      <c r="AC197" s="139">
        <f>IF(ISBLANK(Table1368[[#This Row],[Date revente]]),"",IF(ISBLANK(Table1368[[#This Row],[Date revente]]),TODAY(),Table1368[[#This Row],[Date revente]])-Table1368[[#This Row],[Date réception Achat]])</f>
        <v>26</v>
      </c>
      <c r="AD197" s="139">
        <f>IF(ISBLANK(Table1368[[#This Row],[Date revente]]),"",IF(ISBLANK(Table1368[[#This Row],[Date revente]]),TODAY(),Table1368[[#This Row],[Date revente]])-Table1368[[#This Row],[Date achat]])</f>
        <v>35</v>
      </c>
    </row>
    <row r="198" spans="1:30" x14ac:dyDescent="0.25">
      <c r="A198" s="134">
        <v>46135</v>
      </c>
      <c r="B198" s="141" t="s">
        <v>612</v>
      </c>
      <c r="C198" s="134" t="s">
        <v>613</v>
      </c>
      <c r="D198" s="127" t="s">
        <v>607</v>
      </c>
      <c r="E198" s="127"/>
      <c r="F198" s="127"/>
      <c r="G198" s="147" t="s">
        <v>177</v>
      </c>
      <c r="H198" s="155" t="s">
        <v>557</v>
      </c>
      <c r="I198" s="134" t="s">
        <v>165</v>
      </c>
      <c r="J198" s="134" t="s">
        <v>157</v>
      </c>
      <c r="K198" s="135">
        <v>21.889999999999997</v>
      </c>
      <c r="L198" s="135">
        <f>Table1368[[#This Row],[Prix total Achat]]-Table1368[[#This Row],[Prix article]]</f>
        <v>19.621370000000002</v>
      </c>
      <c r="M198" s="135">
        <v>41.51137</v>
      </c>
      <c r="N198" s="134">
        <v>46141</v>
      </c>
      <c r="O198" s="136">
        <f>(Table1368[[#This Row],[Prix total Achat]]*2)</f>
        <v>83.02274</v>
      </c>
      <c r="P198" s="136">
        <f>Table1368[[#This Row],[Prix Min voulu (x2 )]]*1.2</f>
        <v>99.627288</v>
      </c>
      <c r="Q198" s="134">
        <v>46143</v>
      </c>
      <c r="R198" s="134">
        <v>46144</v>
      </c>
      <c r="S198" s="135">
        <v>105</v>
      </c>
      <c r="T198" s="134" t="s">
        <v>160</v>
      </c>
      <c r="U198" s="134" t="s">
        <v>157</v>
      </c>
      <c r="V198" s="137">
        <f>IF(ISBLANK(Table1368[[#This Row],[Date réception Achat]]),"",IF(ISBLANK(Table1368[[#This Row],[Date revente]]),TODAY(),Table1368[[#This Row],[Date revente]])-Table1368[[#This Row],[Date réception Achat]])</f>
        <v>3</v>
      </c>
      <c r="W19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8" s="135">
        <f>IF(Table1368[[#This Row],[Prix de revente]]="","",Table1368[[#This Row],[Prix de revente]]-Table1368[[#This Row],[Prix total Achat]])</f>
        <v>63.48863</v>
      </c>
      <c r="Y198" s="138">
        <f>IF(Table1368[[#This Row],[Prix de revente]]="","",(Table1368[[#This Row],[Prix de revente]]/Table1368[[#This Row],[Prix total Achat]]))</f>
        <v>2.5294274797483194</v>
      </c>
      <c r="Z198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98" s="139">
        <f>IF(ISBLANK(Table1368[[#This Row],[Date relisting]]),"",IF(ISBLANK(Table1368[[#This Row],[Date relisting]]),TODAY(),Table1368[[#This Row],[Date relisting]])-Table1368[[#This Row],[Date réception Achat]])</f>
        <v>2</v>
      </c>
      <c r="AB198" s="139">
        <f>IF(ISBLANK(Table1368[[#This Row],[Date revente]]),"",IF(ISBLANK(Table1368[[#This Row],[Date revente]]),TODAY(),Table1368[[#This Row],[Date revente]])-Table1368[[#This Row],[Date relisting]])</f>
        <v>1</v>
      </c>
      <c r="AC198" s="139">
        <f>IF(ISBLANK(Table1368[[#This Row],[Date revente]]),"",IF(ISBLANK(Table1368[[#This Row],[Date revente]]),TODAY(),Table1368[[#This Row],[Date revente]])-Table1368[[#This Row],[Date réception Achat]])</f>
        <v>3</v>
      </c>
      <c r="AD198" s="139">
        <f>IF(ISBLANK(Table1368[[#This Row],[Date revente]]),"",IF(ISBLANK(Table1368[[#This Row],[Date revente]]),TODAY(),Table1368[[#This Row],[Date revente]])-Table1368[[#This Row],[Date achat]])</f>
        <v>9</v>
      </c>
    </row>
    <row r="199" spans="1:30" x14ac:dyDescent="0.25">
      <c r="A199" s="134">
        <v>46135</v>
      </c>
      <c r="B199" s="141" t="s">
        <v>614</v>
      </c>
      <c r="C199" s="134" t="s">
        <v>615</v>
      </c>
      <c r="D199" s="127" t="s">
        <v>607</v>
      </c>
      <c r="E199" s="127"/>
      <c r="F199" s="127"/>
      <c r="G199" s="147" t="s">
        <v>616</v>
      </c>
      <c r="H199" s="155" t="s">
        <v>178</v>
      </c>
      <c r="I199" s="134" t="s">
        <v>165</v>
      </c>
      <c r="J199" s="134" t="s">
        <v>157</v>
      </c>
      <c r="K199" s="135">
        <v>22.99</v>
      </c>
      <c r="L199" s="135">
        <f>Table1368[[#This Row],[Prix total Achat]]-Table1368[[#This Row],[Prix article]]</f>
        <v>19.621369999999995</v>
      </c>
      <c r="M199" s="135">
        <v>42.611369999999994</v>
      </c>
      <c r="N199" s="134">
        <v>46141</v>
      </c>
      <c r="O199" s="136">
        <f>(Table1368[[#This Row],[Prix total Achat]]*2)</f>
        <v>85.22273999999999</v>
      </c>
      <c r="P199" s="136">
        <f>Table1368[[#This Row],[Prix Min voulu (x2 )]]*1.2</f>
        <v>102.26728799999998</v>
      </c>
      <c r="Q199" s="134">
        <v>46144</v>
      </c>
      <c r="R199" s="134">
        <v>46157</v>
      </c>
      <c r="S199" s="135">
        <v>80</v>
      </c>
      <c r="T199" s="134" t="s">
        <v>160</v>
      </c>
      <c r="U199" s="134" t="s">
        <v>157</v>
      </c>
      <c r="V199" s="137">
        <f>IF(ISBLANK(Table1368[[#This Row],[Date réception Achat]]),"",IF(ISBLANK(Table1368[[#This Row],[Date revente]]),TODAY(),Table1368[[#This Row],[Date revente]])-Table1368[[#This Row],[Date réception Achat]])</f>
        <v>16</v>
      </c>
      <c r="W19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199" s="135">
        <f>IF(Table1368[[#This Row],[Prix de revente]]="","",Table1368[[#This Row],[Prix de revente]]-Table1368[[#This Row],[Prix total Achat]])</f>
        <v>37.388630000000006</v>
      </c>
      <c r="Y199" s="138">
        <f>IF(Table1368[[#This Row],[Prix de revente]]="","",(Table1368[[#This Row],[Prix de revente]]/Table1368[[#This Row],[Prix total Achat]]))</f>
        <v>1.8774331827397244</v>
      </c>
      <c r="Z199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199" s="139">
        <f>IF(ISBLANK(Table1368[[#This Row],[Date relisting]]),"",IF(ISBLANK(Table1368[[#This Row],[Date relisting]]),TODAY(),Table1368[[#This Row],[Date relisting]])-Table1368[[#This Row],[Date réception Achat]])</f>
        <v>3</v>
      </c>
      <c r="AB199" s="139">
        <f>IF(ISBLANK(Table1368[[#This Row],[Date revente]]),"",IF(ISBLANK(Table1368[[#This Row],[Date revente]]),TODAY(),Table1368[[#This Row],[Date revente]])-Table1368[[#This Row],[Date relisting]])</f>
        <v>13</v>
      </c>
      <c r="AC199" s="139">
        <f>IF(ISBLANK(Table1368[[#This Row],[Date revente]]),"",IF(ISBLANK(Table1368[[#This Row],[Date revente]]),TODAY(),Table1368[[#This Row],[Date revente]])-Table1368[[#This Row],[Date réception Achat]])</f>
        <v>16</v>
      </c>
      <c r="AD199" s="139">
        <f>IF(ISBLANK(Table1368[[#This Row],[Date revente]]),"",IF(ISBLANK(Table1368[[#This Row],[Date revente]]),TODAY(),Table1368[[#This Row],[Date revente]])-Table1368[[#This Row],[Date achat]])</f>
        <v>22</v>
      </c>
    </row>
    <row r="200" spans="1:30" x14ac:dyDescent="0.25">
      <c r="A200" s="134">
        <v>46135</v>
      </c>
      <c r="B200" s="141" t="s">
        <v>617</v>
      </c>
      <c r="C200" s="134" t="s">
        <v>618</v>
      </c>
      <c r="D200" s="127" t="s">
        <v>607</v>
      </c>
      <c r="E200" s="127"/>
      <c r="F200" s="127"/>
      <c r="G200" s="147" t="s">
        <v>163</v>
      </c>
      <c r="H200" s="155" t="s">
        <v>164</v>
      </c>
      <c r="I200" s="134" t="s">
        <v>165</v>
      </c>
      <c r="J200" s="134" t="s">
        <v>157</v>
      </c>
      <c r="K200" s="135">
        <v>13.75</v>
      </c>
      <c r="L200" s="135">
        <f>Table1368[[#This Row],[Prix total Achat]]-Table1368[[#This Row],[Prix article]]</f>
        <v>19.62137</v>
      </c>
      <c r="M200" s="135">
        <v>33.37137</v>
      </c>
      <c r="N200" s="134">
        <v>46141</v>
      </c>
      <c r="O200" s="136">
        <f>(Table1368[[#This Row],[Prix total Achat]]*2)</f>
        <v>66.74274</v>
      </c>
      <c r="P200" s="136">
        <f>Table1368[[#This Row],[Prix Min voulu (x2 )]]*1.2</f>
        <v>80.09128799999999</v>
      </c>
      <c r="Q200" s="134">
        <v>46143</v>
      </c>
      <c r="R200" s="134">
        <v>46155</v>
      </c>
      <c r="S200" s="135">
        <v>80</v>
      </c>
      <c r="T200" s="134" t="s">
        <v>160</v>
      </c>
      <c r="U200" s="134" t="s">
        <v>157</v>
      </c>
      <c r="V200" s="137">
        <f>IF(ISBLANK(Table1368[[#This Row],[Date réception Achat]]),"",IF(ISBLANK(Table1368[[#This Row],[Date revente]]),TODAY(),Table1368[[#This Row],[Date revente]])-Table1368[[#This Row],[Date réception Achat]])</f>
        <v>14</v>
      </c>
      <c r="W20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0" s="135">
        <f>IF(Table1368[[#This Row],[Prix de revente]]="","",Table1368[[#This Row],[Prix de revente]]-Table1368[[#This Row],[Prix total Achat]])</f>
        <v>46.62863</v>
      </c>
      <c r="Y200" s="138">
        <f>IF(Table1368[[#This Row],[Prix de revente]]="","",(Table1368[[#This Row],[Prix de revente]]/Table1368[[#This Row],[Prix total Achat]]))</f>
        <v>2.39726448150016</v>
      </c>
      <c r="Z200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200" s="139">
        <f>IF(ISBLANK(Table1368[[#This Row],[Date relisting]]),"",IF(ISBLANK(Table1368[[#This Row],[Date relisting]]),TODAY(),Table1368[[#This Row],[Date relisting]])-Table1368[[#This Row],[Date réception Achat]])</f>
        <v>2</v>
      </c>
      <c r="AB200" s="139">
        <f>IF(ISBLANK(Table1368[[#This Row],[Date revente]]),"",IF(ISBLANK(Table1368[[#This Row],[Date revente]]),TODAY(),Table1368[[#This Row],[Date revente]])-Table1368[[#This Row],[Date relisting]])</f>
        <v>12</v>
      </c>
      <c r="AC200" s="139">
        <f>IF(ISBLANK(Table1368[[#This Row],[Date revente]]),"",IF(ISBLANK(Table1368[[#This Row],[Date revente]]),TODAY(),Table1368[[#This Row],[Date revente]])-Table1368[[#This Row],[Date réception Achat]])</f>
        <v>14</v>
      </c>
      <c r="AD200" s="139">
        <f>IF(ISBLANK(Table1368[[#This Row],[Date revente]]),"",IF(ISBLANK(Table1368[[#This Row],[Date revente]]),TODAY(),Table1368[[#This Row],[Date revente]])-Table1368[[#This Row],[Date achat]])</f>
        <v>20</v>
      </c>
    </row>
    <row r="201" spans="1:30" x14ac:dyDescent="0.25">
      <c r="A201" s="134">
        <v>46135</v>
      </c>
      <c r="B201" s="141" t="s">
        <v>619</v>
      </c>
      <c r="C201" s="134" t="s">
        <v>620</v>
      </c>
      <c r="D201" s="127" t="s">
        <v>607</v>
      </c>
      <c r="E201" s="127"/>
      <c r="F201" s="127"/>
      <c r="G201" s="147" t="s">
        <v>422</v>
      </c>
      <c r="H201" s="155" t="s">
        <v>174</v>
      </c>
      <c r="I201" s="134" t="s">
        <v>165</v>
      </c>
      <c r="J201" s="134" t="s">
        <v>157</v>
      </c>
      <c r="K201" s="135">
        <v>20.9</v>
      </c>
      <c r="L201" s="135">
        <f>Table1368[[#This Row],[Prix total Achat]]-Table1368[[#This Row],[Prix article]]</f>
        <v>19.62137</v>
      </c>
      <c r="M201" s="135">
        <v>40.52137</v>
      </c>
      <c r="N201" s="134">
        <v>46141</v>
      </c>
      <c r="O201" s="136">
        <f>(Table1368[[#This Row],[Prix total Achat]]*2)</f>
        <v>81.04274</v>
      </c>
      <c r="P201" s="136">
        <f>Table1368[[#This Row],[Prix Min voulu (x2 )]]*1.2</f>
        <v>97.25128799999999</v>
      </c>
      <c r="Q201" s="134">
        <v>46152</v>
      </c>
      <c r="R201" s="134">
        <v>46281</v>
      </c>
      <c r="S201" s="135">
        <v>116.5</v>
      </c>
      <c r="T201" s="134" t="s">
        <v>160</v>
      </c>
      <c r="U201" s="134" t="s">
        <v>157</v>
      </c>
      <c r="V201" s="137">
        <f>IF(ISBLANK(Table1368[[#This Row],[Date réception Achat]]),"",IF(ISBLANK(Table1368[[#This Row],[Date revente]]),TODAY(),Table1368[[#This Row],[Date revente]])-Table1368[[#This Row],[Date réception Achat]])</f>
        <v>140</v>
      </c>
      <c r="W20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1" s="135">
        <f>IF(Table1368[[#This Row],[Prix de revente]]="","",Table1368[[#This Row],[Prix de revente]]-Table1368[[#This Row],[Prix total Achat]])</f>
        <v>75.97863000000001</v>
      </c>
      <c r="Y201" s="138">
        <f>IF(Table1368[[#This Row],[Prix de revente]]="","",(Table1368[[#This Row],[Prix de revente]]/Table1368[[#This Row],[Prix total Achat]]))</f>
        <v>2.875026189884498</v>
      </c>
      <c r="Z201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201" s="139">
        <f>IF(ISBLANK(Table1368[[#This Row],[Date relisting]]),"",IF(ISBLANK(Table1368[[#This Row],[Date relisting]]),TODAY(),Table1368[[#This Row],[Date relisting]])-Table1368[[#This Row],[Date réception Achat]])</f>
        <v>11</v>
      </c>
      <c r="AB201" s="139">
        <f>IF(ISBLANK(Table1368[[#This Row],[Date revente]]),"",IF(ISBLANK(Table1368[[#This Row],[Date revente]]),TODAY(),Table1368[[#This Row],[Date revente]])-Table1368[[#This Row],[Date relisting]])</f>
        <v>129</v>
      </c>
      <c r="AC201" s="139">
        <f>IF(ISBLANK(Table1368[[#This Row],[Date revente]]),"",IF(ISBLANK(Table1368[[#This Row],[Date revente]]),TODAY(),Table1368[[#This Row],[Date revente]])-Table1368[[#This Row],[Date réception Achat]])</f>
        <v>140</v>
      </c>
      <c r="AD201" s="139">
        <f>IF(ISBLANK(Table1368[[#This Row],[Date revente]]),"",IF(ISBLANK(Table1368[[#This Row],[Date revente]]),TODAY(),Table1368[[#This Row],[Date revente]])-Table1368[[#This Row],[Date achat]])</f>
        <v>146</v>
      </c>
    </row>
    <row r="202" spans="1:30" x14ac:dyDescent="0.25">
      <c r="A202" s="134">
        <v>46135</v>
      </c>
      <c r="B202" s="141" t="s">
        <v>621</v>
      </c>
      <c r="C202" s="134" t="s">
        <v>622</v>
      </c>
      <c r="D202" s="127" t="s">
        <v>607</v>
      </c>
      <c r="E202" s="127"/>
      <c r="F202" s="127"/>
      <c r="G202" s="147" t="s">
        <v>616</v>
      </c>
      <c r="H202" s="155" t="s">
        <v>178</v>
      </c>
      <c r="I202" s="134" t="s">
        <v>165</v>
      </c>
      <c r="J202" s="134" t="s">
        <v>157</v>
      </c>
      <c r="K202" s="135">
        <v>24.75</v>
      </c>
      <c r="L202" s="135">
        <f>Table1368[[#This Row],[Prix total Achat]]-Table1368[[#This Row],[Prix article]]</f>
        <v>19.62137</v>
      </c>
      <c r="M202" s="135">
        <v>44.37137</v>
      </c>
      <c r="N202" s="134">
        <v>46141</v>
      </c>
      <c r="O202" s="136">
        <f>(Table1368[[#This Row],[Prix total Achat]]*2)</f>
        <v>88.74274</v>
      </c>
      <c r="P202" s="136">
        <f>Table1368[[#This Row],[Prix Min voulu (x2 )]]*1.2</f>
        <v>106.491288</v>
      </c>
      <c r="Q202" s="134">
        <v>46144</v>
      </c>
      <c r="R202" s="134"/>
      <c r="S202" s="135"/>
      <c r="T202" s="134"/>
      <c r="U202" s="134" t="s">
        <v>157</v>
      </c>
      <c r="V202" s="137">
        <f>IF(ISBLANK(Table1368[[#This Row],[Date réception Achat]]),"",IF(ISBLANK(Table1368[[#This Row],[Date revente]]),TODAY(),Table1368[[#This Row],[Date revente]])-Table1368[[#This Row],[Date réception Achat]])</f>
        <v>162</v>
      </c>
      <c r="W20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02" s="135">
        <f>IF(Table1368[[#This Row],[Prix de revente]]="","",Table1368[[#This Row],[Prix de revente]]-Table1368[[#This Row],[Prix total Achat]])</f>
      </c>
      <c r="Y202" s="138">
        <f>IF(Table1368[[#This Row],[Prix de revente]]="","",(Table1368[[#This Row],[Prix de revente]]/Table1368[[#This Row],[Prix total Achat]]))</f>
      </c>
      <c r="Z202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202" s="139">
        <f>IF(ISBLANK(Table1368[[#This Row],[Date relisting]]),"",IF(ISBLANK(Table1368[[#This Row],[Date relisting]]),TODAY(),Table1368[[#This Row],[Date relisting]])-Table1368[[#This Row],[Date réception Achat]])</f>
        <v>3</v>
      </c>
      <c r="AB202" s="139">
        <f>IF(ISBLANK(Table1368[[#This Row],[Date revente]]),"",IF(ISBLANK(Table1368[[#This Row],[Date revente]]),TODAY(),Table1368[[#This Row],[Date revente]])-Table1368[[#This Row],[Date relisting]])</f>
      </c>
      <c r="AC202" s="139">
        <f>IF(ISBLANK(Table1368[[#This Row],[Date revente]]),"",IF(ISBLANK(Table1368[[#This Row],[Date revente]]),TODAY(),Table1368[[#This Row],[Date revente]])-Table1368[[#This Row],[Date réception Achat]])</f>
      </c>
      <c r="AD202" s="139">
        <f>IF(ISBLANK(Table1368[[#This Row],[Date revente]]),"",IF(ISBLANK(Table1368[[#This Row],[Date revente]]),TODAY(),Table1368[[#This Row],[Date revente]])-Table1368[[#This Row],[Date achat]])</f>
      </c>
    </row>
    <row r="203" spans="1:30" x14ac:dyDescent="0.25">
      <c r="A203" s="134">
        <v>46135</v>
      </c>
      <c r="B203" s="141" t="s">
        <v>623</v>
      </c>
      <c r="C203" s="134" t="s">
        <v>624</v>
      </c>
      <c r="D203" s="127" t="s">
        <v>607</v>
      </c>
      <c r="E203" s="127"/>
      <c r="F203" s="127"/>
      <c r="G203" s="147" t="s">
        <v>163</v>
      </c>
      <c r="H203" s="155" t="s">
        <v>178</v>
      </c>
      <c r="I203" s="134" t="s">
        <v>165</v>
      </c>
      <c r="J203" s="134" t="s">
        <v>157</v>
      </c>
      <c r="K203" s="135">
        <v>11</v>
      </c>
      <c r="L203" s="135">
        <f>Table1368[[#This Row],[Prix total Achat]]-Table1368[[#This Row],[Prix article]]</f>
        <v>19.62137</v>
      </c>
      <c r="M203" s="135">
        <v>30.62137</v>
      </c>
      <c r="N203" s="134">
        <v>46141</v>
      </c>
      <c r="O203" s="136">
        <f>(Table1368[[#This Row],[Prix total Achat]]*2)</f>
        <v>61.24274</v>
      </c>
      <c r="P203" s="136">
        <f>Table1368[[#This Row],[Prix Min voulu (x2 )]]*1.2</f>
        <v>73.491288</v>
      </c>
      <c r="Q203" s="134">
        <v>46145</v>
      </c>
      <c r="R203" s="134"/>
      <c r="S203" s="135"/>
      <c r="T203" s="134"/>
      <c r="U203" s="134" t="s">
        <v>157</v>
      </c>
      <c r="V203" s="137">
        <f>IF(ISBLANK(Table1368[[#This Row],[Date réception Achat]]),"",IF(ISBLANK(Table1368[[#This Row],[Date revente]]),TODAY(),Table1368[[#This Row],[Date revente]])-Table1368[[#This Row],[Date réception Achat]])</f>
        <v>162</v>
      </c>
      <c r="W20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03" s="135">
        <f>IF(Table1368[[#This Row],[Prix de revente]]="","",Table1368[[#This Row],[Prix de revente]]-Table1368[[#This Row],[Prix total Achat]])</f>
      </c>
      <c r="Y203" s="138">
        <f>IF(Table1368[[#This Row],[Prix de revente]]="","",(Table1368[[#This Row],[Prix de revente]]/Table1368[[#This Row],[Prix total Achat]]))</f>
      </c>
      <c r="Z203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203" s="139">
        <f>IF(ISBLANK(Table1368[[#This Row],[Date relisting]]),"",IF(ISBLANK(Table1368[[#This Row],[Date relisting]]),TODAY(),Table1368[[#This Row],[Date relisting]])-Table1368[[#This Row],[Date réception Achat]])</f>
        <v>4</v>
      </c>
      <c r="AB203" s="139">
        <f>IF(ISBLANK(Table1368[[#This Row],[Date revente]]),"",IF(ISBLANK(Table1368[[#This Row],[Date revente]]),TODAY(),Table1368[[#This Row],[Date revente]])-Table1368[[#This Row],[Date relisting]])</f>
      </c>
      <c r="AC203" s="139">
        <f>IF(ISBLANK(Table1368[[#This Row],[Date revente]]),"",IF(ISBLANK(Table1368[[#This Row],[Date revente]]),TODAY(),Table1368[[#This Row],[Date revente]])-Table1368[[#This Row],[Date réception Achat]])</f>
      </c>
      <c r="AD203" s="139">
        <f>IF(ISBLANK(Table1368[[#This Row],[Date revente]]),"",IF(ISBLANK(Table1368[[#This Row],[Date revente]]),TODAY(),Table1368[[#This Row],[Date revente]])-Table1368[[#This Row],[Date achat]])</f>
      </c>
    </row>
    <row r="204" spans="1:30" x14ac:dyDescent="0.25">
      <c r="A204" s="134">
        <v>46135</v>
      </c>
      <c r="B204" s="143" t="s">
        <v>625</v>
      </c>
      <c r="C204" s="134" t="s">
        <v>626</v>
      </c>
      <c r="D204" s="127" t="s">
        <v>607</v>
      </c>
      <c r="E204" s="127"/>
      <c r="F204" s="127"/>
      <c r="G204" s="147" t="s">
        <v>616</v>
      </c>
      <c r="H204" s="155" t="s">
        <v>178</v>
      </c>
      <c r="I204" s="134" t="s">
        <v>165</v>
      </c>
      <c r="J204" s="134" t="s">
        <v>157</v>
      </c>
      <c r="K204" s="135">
        <v>13.75</v>
      </c>
      <c r="L204" s="135">
        <f>Table1368[[#This Row],[Prix total Achat]]-Table1368[[#This Row],[Prix article]]</f>
        <v>19.62137</v>
      </c>
      <c r="M204" s="135">
        <v>33.37137</v>
      </c>
      <c r="N204" s="134">
        <v>46141</v>
      </c>
      <c r="O204" s="136">
        <f>(Table1368[[#This Row],[Prix total Achat]]*2)</f>
        <v>66.74274</v>
      </c>
      <c r="P204" s="136">
        <f>Table1368[[#This Row],[Prix Min voulu (x2 )]]*1.2</f>
        <v>80.09128799999999</v>
      </c>
      <c r="Q204" s="134">
        <v>46144</v>
      </c>
      <c r="R204" s="134">
        <v>46146</v>
      </c>
      <c r="S204" s="135">
        <v>100</v>
      </c>
      <c r="T204" s="134" t="s">
        <v>160</v>
      </c>
      <c r="U204" s="134" t="s">
        <v>157</v>
      </c>
      <c r="V204" s="137">
        <f>IF(ISBLANK(Table1368[[#This Row],[Date réception Achat]]),"",IF(ISBLANK(Table1368[[#This Row],[Date revente]]),TODAY(),Table1368[[#This Row],[Date revente]])-Table1368[[#This Row],[Date réception Achat]])</f>
        <v>5</v>
      </c>
      <c r="W20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4" s="135">
        <f>IF(Table1368[[#This Row],[Prix de revente]]="","",Table1368[[#This Row],[Prix de revente]]-Table1368[[#This Row],[Prix total Achat]])</f>
        <v>66.62863</v>
      </c>
      <c r="Y204" s="138">
        <f>IF(Table1368[[#This Row],[Prix de revente]]="","",(Table1368[[#This Row],[Prix de revente]]/Table1368[[#This Row],[Prix total Achat]]))</f>
        <v>2.9965806018752</v>
      </c>
      <c r="Z204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204" s="139">
        <f>IF(ISBLANK(Table1368[[#This Row],[Date relisting]]),"",IF(ISBLANK(Table1368[[#This Row],[Date relisting]]),TODAY(),Table1368[[#This Row],[Date relisting]])-Table1368[[#This Row],[Date réception Achat]])</f>
        <v>3</v>
      </c>
      <c r="AB204" s="139">
        <f>IF(ISBLANK(Table1368[[#This Row],[Date revente]]),"",IF(ISBLANK(Table1368[[#This Row],[Date revente]]),TODAY(),Table1368[[#This Row],[Date revente]])-Table1368[[#This Row],[Date relisting]])</f>
        <v>2</v>
      </c>
      <c r="AC204" s="139">
        <f>IF(ISBLANK(Table1368[[#This Row],[Date revente]]),"",IF(ISBLANK(Table1368[[#This Row],[Date revente]]),TODAY(),Table1368[[#This Row],[Date revente]])-Table1368[[#This Row],[Date réception Achat]])</f>
        <v>5</v>
      </c>
      <c r="AD204" s="139">
        <f>IF(ISBLANK(Table1368[[#This Row],[Date revente]]),"",IF(ISBLANK(Table1368[[#This Row],[Date revente]]),TODAY(),Table1368[[#This Row],[Date revente]])-Table1368[[#This Row],[Date achat]])</f>
        <v>11</v>
      </c>
    </row>
    <row r="205" spans="1:30" x14ac:dyDescent="0.25">
      <c r="A205" s="134">
        <v>46135</v>
      </c>
      <c r="B205" s="143" t="s">
        <v>627</v>
      </c>
      <c r="C205" s="134" t="s">
        <v>628</v>
      </c>
      <c r="D205" s="127" t="s">
        <v>607</v>
      </c>
      <c r="E205" s="127"/>
      <c r="F205" s="127"/>
      <c r="G205" s="147" t="s">
        <v>422</v>
      </c>
      <c r="H205" s="155" t="s">
        <v>174</v>
      </c>
      <c r="I205" s="134" t="s">
        <v>165</v>
      </c>
      <c r="J205" s="134" t="s">
        <v>157</v>
      </c>
      <c r="K205" s="135">
        <v>19.25</v>
      </c>
      <c r="L205" s="135">
        <f>Table1368[[#This Row],[Prix total Achat]]-Table1368[[#This Row],[Prix article]]</f>
        <v>19.62137</v>
      </c>
      <c r="M205" s="135">
        <v>38.87137</v>
      </c>
      <c r="N205" s="134">
        <v>46141</v>
      </c>
      <c r="O205" s="136">
        <f>(Table1368[[#This Row],[Prix total Achat]]*2)</f>
        <v>77.74274</v>
      </c>
      <c r="P205" s="136">
        <f>Table1368[[#This Row],[Prix Min voulu (x2 )]]*1.2</f>
        <v>93.291288</v>
      </c>
      <c r="Q205" s="134">
        <v>46143</v>
      </c>
      <c r="R205" s="134">
        <v>46285</v>
      </c>
      <c r="S205" s="135">
        <v>125</v>
      </c>
      <c r="T205" s="134" t="s">
        <v>160</v>
      </c>
      <c r="U205" s="134" t="s">
        <v>157</v>
      </c>
      <c r="V205" s="137">
        <f>IF(ISBLANK(Table1368[[#This Row],[Date réception Achat]]),"",IF(ISBLANK(Table1368[[#This Row],[Date revente]]),TODAY(),Table1368[[#This Row],[Date revente]])-Table1368[[#This Row],[Date réception Achat]])</f>
        <v>144</v>
      </c>
      <c r="W20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5" s="135">
        <f>IF(Table1368[[#This Row],[Prix de revente]]="","",Table1368[[#This Row],[Prix de revente]]-Table1368[[#This Row],[Prix total Achat]])</f>
        <v>86.12863</v>
      </c>
      <c r="Y205" s="138">
        <f>IF(Table1368[[#This Row],[Prix de revente]]="","",(Table1368[[#This Row],[Prix de revente]]/Table1368[[#This Row],[Prix total Achat]]))</f>
        <v>3.215734356674334</v>
      </c>
      <c r="Z205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205" s="139">
        <f>IF(ISBLANK(Table1368[[#This Row],[Date relisting]]),"",IF(ISBLANK(Table1368[[#This Row],[Date relisting]]),TODAY(),Table1368[[#This Row],[Date relisting]])-Table1368[[#This Row],[Date réception Achat]])</f>
        <v>2</v>
      </c>
      <c r="AB205" s="139">
        <f>IF(ISBLANK(Table1368[[#This Row],[Date revente]]),"",IF(ISBLANK(Table1368[[#This Row],[Date revente]]),TODAY(),Table1368[[#This Row],[Date revente]])-Table1368[[#This Row],[Date relisting]])</f>
        <v>142</v>
      </c>
      <c r="AC205" s="139">
        <f>IF(ISBLANK(Table1368[[#This Row],[Date revente]]),"",IF(ISBLANK(Table1368[[#This Row],[Date revente]]),TODAY(),Table1368[[#This Row],[Date revente]])-Table1368[[#This Row],[Date réception Achat]])</f>
        <v>144</v>
      </c>
      <c r="AD205" s="139">
        <f>IF(ISBLANK(Table1368[[#This Row],[Date revente]]),"",IF(ISBLANK(Table1368[[#This Row],[Date revente]]),TODAY(),Table1368[[#This Row],[Date revente]])-Table1368[[#This Row],[Date achat]])</f>
        <v>150</v>
      </c>
    </row>
    <row r="206" spans="1:30" x14ac:dyDescent="0.25">
      <c r="A206" s="134">
        <v>46140</v>
      </c>
      <c r="B206" s="141" t="s">
        <v>629</v>
      </c>
      <c r="C206" s="134" t="s">
        <v>630</v>
      </c>
      <c r="D206" s="127" t="s">
        <v>157</v>
      </c>
      <c r="E206" s="127"/>
      <c r="F206" s="127"/>
      <c r="G206" s="134" t="s">
        <v>228</v>
      </c>
      <c r="H206" s="127" t="s">
        <v>256</v>
      </c>
      <c r="I206" s="134" t="s">
        <v>160</v>
      </c>
      <c r="J206" s="134" t="s">
        <v>157</v>
      </c>
      <c r="K206" s="135">
        <v>10</v>
      </c>
      <c r="L206" s="135">
        <f>Table1368[[#This Row],[Prix total Achat]]-Table1368[[#This Row],[Prix article]]</f>
        <v>4.43</v>
      </c>
      <c r="M206" s="135">
        <v>14.43</v>
      </c>
      <c r="N206" s="134">
        <v>46153</v>
      </c>
      <c r="O206" s="136">
        <f>(Table1368[[#This Row],[Prix total Achat]]*2)</f>
        <v>28.86</v>
      </c>
      <c r="P206" s="136">
        <f>Table1368[[#This Row],[Prix Min voulu (x2 )]]*1.2</f>
        <v>34.632</v>
      </c>
      <c r="Q206" s="134">
        <v>46153</v>
      </c>
      <c r="R206" s="134">
        <v>46163</v>
      </c>
      <c r="S206" s="135">
        <v>40</v>
      </c>
      <c r="T206" s="134" t="s">
        <v>160</v>
      </c>
      <c r="U206" s="134" t="s">
        <v>157</v>
      </c>
      <c r="V206" s="137">
        <f>IF(ISBLANK(Table1368[[#This Row],[Date réception Achat]]),"",IF(ISBLANK(Table1368[[#This Row],[Date revente]]),TODAY(),Table1368[[#This Row],[Date revente]])-Table1368[[#This Row],[Date réception Achat]])</f>
        <v>10</v>
      </c>
      <c r="W20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6" s="135">
        <f>IF(Table1368[[#This Row],[Prix de revente]]="","",Table1368[[#This Row],[Prix de revente]]-Table1368[[#This Row],[Prix total Achat]])</f>
        <v>25.57</v>
      </c>
      <c r="Y206" s="138">
        <f>IF(Table1368[[#This Row],[Prix de revente]]="","",(Table1368[[#This Row],[Prix de revente]]/Table1368[[#This Row],[Prix total Achat]]))</f>
        <v>2.772002772002772</v>
      </c>
      <c r="Z206" s="139">
        <f>IF(ISBLANK(Table1368[[#This Row],[Date réception Achat]]),"",IF(ISBLANK(Table1368[[#This Row],[Date réception Achat]]),TODAY(),Table1368[[#This Row],[Date réception Achat]])-Table1368[[#This Row],[Date achat]])</f>
        <v>13</v>
      </c>
      <c r="AA206" s="139">
        <f>IF(ISBLANK(Table1368[[#This Row],[Date relisting]]),"",IF(ISBLANK(Table1368[[#This Row],[Date relisting]]),TODAY(),Table1368[[#This Row],[Date relisting]])-Table1368[[#This Row],[Date réception Achat]])</f>
        <v>0</v>
      </c>
      <c r="AB206" s="139">
        <f>IF(ISBLANK(Table1368[[#This Row],[Date revente]]),"",IF(ISBLANK(Table1368[[#This Row],[Date revente]]),TODAY(),Table1368[[#This Row],[Date revente]])-Table1368[[#This Row],[Date relisting]])</f>
        <v>10</v>
      </c>
      <c r="AC206" s="139">
        <f>IF(ISBLANK(Table1368[[#This Row],[Date revente]]),"",IF(ISBLANK(Table1368[[#This Row],[Date revente]]),TODAY(),Table1368[[#This Row],[Date revente]])-Table1368[[#This Row],[Date réception Achat]])</f>
        <v>10</v>
      </c>
      <c r="AD206" s="139">
        <f>IF(ISBLANK(Table1368[[#This Row],[Date revente]]),"",IF(ISBLANK(Table1368[[#This Row],[Date revente]]),TODAY(),Table1368[[#This Row],[Date revente]])-Table1368[[#This Row],[Date achat]])</f>
        <v>23</v>
      </c>
    </row>
    <row r="207" spans="1:30" x14ac:dyDescent="0.25">
      <c r="A207" s="134">
        <v>46141</v>
      </c>
      <c r="B207" s="141" t="s">
        <v>631</v>
      </c>
      <c r="C207" s="134" t="s">
        <v>632</v>
      </c>
      <c r="D207" s="127" t="s">
        <v>633</v>
      </c>
      <c r="E207" s="127"/>
      <c r="F207" s="127"/>
      <c r="G207" s="134" t="s">
        <v>173</v>
      </c>
      <c r="H207" s="127" t="s">
        <v>174</v>
      </c>
      <c r="I207" s="134" t="s">
        <v>165</v>
      </c>
      <c r="J207" s="134" t="s">
        <v>157</v>
      </c>
      <c r="K207" s="135">
        <v>33</v>
      </c>
      <c r="L207" s="135">
        <f>Table1368[[#This Row],[Prix total Achat]]-Table1368[[#This Row],[Prix article]]</f>
        <v>16.233063666666666</v>
      </c>
      <c r="M207" s="135">
        <v>49.233063666666666</v>
      </c>
      <c r="N207" s="134">
        <v>46226</v>
      </c>
      <c r="O207" s="136">
        <f>(Table1368[[#This Row],[Prix total Achat]]*2)</f>
        <v>98.46612733333333</v>
      </c>
      <c r="P207" s="136">
        <f>Table1368[[#This Row],[Prix Min voulu (x2 )]]*1.2</f>
        <v>118.1593528</v>
      </c>
      <c r="Q207" s="134">
        <v>46230</v>
      </c>
      <c r="R207" s="134">
        <v>46281</v>
      </c>
      <c r="S207" s="135">
        <v>120</v>
      </c>
      <c r="T207" s="134" t="s">
        <v>160</v>
      </c>
      <c r="U207" s="134" t="s">
        <v>157</v>
      </c>
      <c r="V207" s="137">
        <f>IF(ISBLANK(Table1368[[#This Row],[Date réception Achat]]),"",IF(ISBLANK(Table1368[[#This Row],[Date revente]]),TODAY(),Table1368[[#This Row],[Date revente]])-Table1368[[#This Row],[Date réception Achat]])</f>
        <v>55</v>
      </c>
      <c r="W20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7" s="135">
        <f>IF(Table1368[[#This Row],[Prix de revente]]="","",Table1368[[#This Row],[Prix de revente]]-Table1368[[#This Row],[Prix total Achat]])</f>
        <v>70.76693633333333</v>
      </c>
      <c r="Y207" s="138">
        <f>IF(Table1368[[#This Row],[Prix de revente]]="","",(Table1368[[#This Row],[Prix de revente]]/Table1368[[#This Row],[Prix total Achat]]))</f>
        <v>2.4373864038293886</v>
      </c>
      <c r="Z207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207" s="139">
        <f>IF(ISBLANK(Table1368[[#This Row],[Date relisting]]),"",IF(ISBLANK(Table1368[[#This Row],[Date relisting]]),TODAY(),Table1368[[#This Row],[Date relisting]])-Table1368[[#This Row],[Date réception Achat]])</f>
        <v>4</v>
      </c>
      <c r="AB207" s="139">
        <f>IF(ISBLANK(Table1368[[#This Row],[Date revente]]),"",IF(ISBLANK(Table1368[[#This Row],[Date revente]]),TODAY(),Table1368[[#This Row],[Date revente]])-Table1368[[#This Row],[Date relisting]])</f>
        <v>51</v>
      </c>
      <c r="AC207" s="139">
        <f>IF(ISBLANK(Table1368[[#This Row],[Date revente]]),"",IF(ISBLANK(Table1368[[#This Row],[Date revente]]),TODAY(),Table1368[[#This Row],[Date revente]])-Table1368[[#This Row],[Date réception Achat]])</f>
        <v>55</v>
      </c>
      <c r="AD207" s="139">
        <f>IF(ISBLANK(Table1368[[#This Row],[Date revente]]),"",IF(ISBLANK(Table1368[[#This Row],[Date revente]]),TODAY(),Table1368[[#This Row],[Date revente]])-Table1368[[#This Row],[Date achat]])</f>
        <v>140</v>
      </c>
    </row>
    <row r="208" spans="1:30" x14ac:dyDescent="0.25">
      <c r="A208" s="134">
        <v>46141</v>
      </c>
      <c r="B208" s="141" t="s">
        <v>634</v>
      </c>
      <c r="C208" s="134" t="s">
        <v>635</v>
      </c>
      <c r="D208" s="127" t="s">
        <v>633</v>
      </c>
      <c r="E208" s="127"/>
      <c r="F208" s="127"/>
      <c r="G208" s="134" t="s">
        <v>173</v>
      </c>
      <c r="H208" s="127" t="s">
        <v>174</v>
      </c>
      <c r="I208" s="134" t="s">
        <v>165</v>
      </c>
      <c r="J208" s="134" t="s">
        <v>157</v>
      </c>
      <c r="K208" s="135">
        <v>37.4</v>
      </c>
      <c r="L208" s="135">
        <f>Table1368[[#This Row],[Prix total Achat]]-Table1368[[#This Row],[Prix article]]</f>
        <v>16.233063666666666</v>
      </c>
      <c r="M208" s="135">
        <v>53.633063666666665</v>
      </c>
      <c r="N208" s="134">
        <v>46226</v>
      </c>
      <c r="O208" s="136">
        <f>(Table1368[[#This Row],[Prix total Achat]]*2)</f>
        <v>107.26612733333333</v>
      </c>
      <c r="P208" s="136">
        <f>Table1368[[#This Row],[Prix Min voulu (x2 )]]*1.2</f>
        <v>128.7193528</v>
      </c>
      <c r="Q208" s="134">
        <v>46231</v>
      </c>
      <c r="R208" s="134">
        <v>46240</v>
      </c>
      <c r="S208" s="135">
        <v>120</v>
      </c>
      <c r="T208" s="134" t="s">
        <v>160</v>
      </c>
      <c r="U208" s="134" t="s">
        <v>157</v>
      </c>
      <c r="V208" s="137">
        <f>IF(ISBLANK(Table1368[[#This Row],[Date réception Achat]]),"",IF(ISBLANK(Table1368[[#This Row],[Date revente]]),TODAY(),Table1368[[#This Row],[Date revente]])-Table1368[[#This Row],[Date réception Achat]])</f>
        <v>14</v>
      </c>
      <c r="W20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8" s="135">
        <f>IF(Table1368[[#This Row],[Prix de revente]]="","",Table1368[[#This Row],[Prix de revente]]-Table1368[[#This Row],[Prix total Achat]])</f>
        <v>66.36693633333334</v>
      </c>
      <c r="Y208" s="138">
        <f>IF(Table1368[[#This Row],[Prix de revente]]="","",(Table1368[[#This Row],[Prix de revente]]/Table1368[[#This Row],[Prix total Achat]]))</f>
        <v>2.237425792899108</v>
      </c>
      <c r="Z208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208" s="139">
        <f>IF(ISBLANK(Table1368[[#This Row],[Date relisting]]),"",IF(ISBLANK(Table1368[[#This Row],[Date relisting]]),TODAY(),Table1368[[#This Row],[Date relisting]])-Table1368[[#This Row],[Date réception Achat]])</f>
        <v>5</v>
      </c>
      <c r="AB208" s="139">
        <f>IF(ISBLANK(Table1368[[#This Row],[Date revente]]),"",IF(ISBLANK(Table1368[[#This Row],[Date revente]]),TODAY(),Table1368[[#This Row],[Date revente]])-Table1368[[#This Row],[Date relisting]])</f>
        <v>9</v>
      </c>
      <c r="AC208" s="139">
        <f>IF(ISBLANK(Table1368[[#This Row],[Date revente]]),"",IF(ISBLANK(Table1368[[#This Row],[Date revente]]),TODAY(),Table1368[[#This Row],[Date revente]])-Table1368[[#This Row],[Date réception Achat]])</f>
        <v>14</v>
      </c>
      <c r="AD208" s="139">
        <f>IF(ISBLANK(Table1368[[#This Row],[Date revente]]),"",IF(ISBLANK(Table1368[[#This Row],[Date revente]]),TODAY(),Table1368[[#This Row],[Date revente]])-Table1368[[#This Row],[Date achat]])</f>
        <v>99</v>
      </c>
    </row>
    <row r="209" spans="1:30" x14ac:dyDescent="0.25">
      <c r="A209" s="134">
        <v>46141</v>
      </c>
      <c r="B209" s="141" t="s">
        <v>636</v>
      </c>
      <c r="C209" s="134" t="s">
        <v>637</v>
      </c>
      <c r="D209" s="127" t="s">
        <v>633</v>
      </c>
      <c r="E209" s="127"/>
      <c r="F209" s="127"/>
      <c r="G209" s="134" t="s">
        <v>173</v>
      </c>
      <c r="H209" s="127" t="s">
        <v>194</v>
      </c>
      <c r="I209" s="134" t="s">
        <v>165</v>
      </c>
      <c r="J209" s="134" t="s">
        <v>157</v>
      </c>
      <c r="K209" s="135">
        <v>19.25</v>
      </c>
      <c r="L209" s="135">
        <f>Table1368[[#This Row],[Prix total Achat]]-Table1368[[#This Row],[Prix article]]</f>
        <v>16.233063666666666</v>
      </c>
      <c r="M209" s="135">
        <v>35.483063666666666</v>
      </c>
      <c r="N209" s="134">
        <v>46226</v>
      </c>
      <c r="O209" s="136">
        <f>(Table1368[[#This Row],[Prix total Achat]]*2)</f>
        <v>70.96612733333333</v>
      </c>
      <c r="P209" s="136">
        <f>Table1368[[#This Row],[Prix Min voulu (x2 )]]*1.2</f>
        <v>85.1593528</v>
      </c>
      <c r="Q209" s="134">
        <v>46230</v>
      </c>
      <c r="R209" s="134">
        <v>46295</v>
      </c>
      <c r="S209" s="135">
        <v>119</v>
      </c>
      <c r="T209" s="134" t="s">
        <v>160</v>
      </c>
      <c r="U209" s="134" t="s">
        <v>157</v>
      </c>
      <c r="V209" s="137">
        <f>IF(ISBLANK(Table1368[[#This Row],[Date réception Achat]]),"",IF(ISBLANK(Table1368[[#This Row],[Date revente]]),TODAY(),Table1368[[#This Row],[Date revente]])-Table1368[[#This Row],[Date réception Achat]])</f>
        <v>69</v>
      </c>
      <c r="W20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09" s="135">
        <f>IF(Table1368[[#This Row],[Prix de revente]]="","",Table1368[[#This Row],[Prix de revente]]-Table1368[[#This Row],[Prix total Achat]])</f>
        <v>83.51693633333333</v>
      </c>
      <c r="Y209" s="138">
        <f>IF(Table1368[[#This Row],[Prix de revente]]="","",(Table1368[[#This Row],[Prix de revente]]/Table1368[[#This Row],[Prix total Achat]]))</f>
        <v>3.353712664664591</v>
      </c>
      <c r="Z209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209" s="139">
        <f>IF(ISBLANK(Table1368[[#This Row],[Date relisting]]),"",IF(ISBLANK(Table1368[[#This Row],[Date relisting]]),TODAY(),Table1368[[#This Row],[Date relisting]])-Table1368[[#This Row],[Date réception Achat]])</f>
        <v>4</v>
      </c>
      <c r="AB209" s="139">
        <f>IF(ISBLANK(Table1368[[#This Row],[Date revente]]),"",IF(ISBLANK(Table1368[[#This Row],[Date revente]]),TODAY(),Table1368[[#This Row],[Date revente]])-Table1368[[#This Row],[Date relisting]])</f>
        <v>65</v>
      </c>
      <c r="AC209" s="139">
        <f>IF(ISBLANK(Table1368[[#This Row],[Date revente]]),"",IF(ISBLANK(Table1368[[#This Row],[Date revente]]),TODAY(),Table1368[[#This Row],[Date revente]])-Table1368[[#This Row],[Date réception Achat]])</f>
        <v>69</v>
      </c>
      <c r="AD209" s="139">
        <f>IF(ISBLANK(Table1368[[#This Row],[Date revente]]),"",IF(ISBLANK(Table1368[[#This Row],[Date revente]]),TODAY(),Table1368[[#This Row],[Date revente]])-Table1368[[#This Row],[Date achat]])</f>
        <v>154</v>
      </c>
    </row>
    <row r="210" spans="1:30" x14ac:dyDescent="0.25">
      <c r="A210" s="134">
        <v>46141</v>
      </c>
      <c r="B210" s="141" t="s">
        <v>638</v>
      </c>
      <c r="C210" s="134" t="s">
        <v>639</v>
      </c>
      <c r="D210" s="127" t="s">
        <v>633</v>
      </c>
      <c r="E210" s="127"/>
      <c r="F210" s="127"/>
      <c r="G210" s="134" t="s">
        <v>163</v>
      </c>
      <c r="H210" s="127" t="s">
        <v>178</v>
      </c>
      <c r="I210" s="134" t="s">
        <v>165</v>
      </c>
      <c r="J210" s="134" t="s">
        <v>157</v>
      </c>
      <c r="K210" s="135">
        <v>14.052499999999998</v>
      </c>
      <c r="L210" s="135">
        <f>Table1368[[#This Row],[Prix total Achat]]-Table1368[[#This Row],[Prix article]]</f>
        <v>16.233063666666666</v>
      </c>
      <c r="M210" s="135">
        <v>30.285563666666665</v>
      </c>
      <c r="N210" s="134">
        <v>46226</v>
      </c>
      <c r="O210" s="136">
        <f>(Table1368[[#This Row],[Prix total Achat]]*2)</f>
        <v>60.57112733333333</v>
      </c>
      <c r="P210" s="136">
        <f>Table1368[[#This Row],[Prix Min voulu (x2 )]]*1.2</f>
        <v>72.68535279999999</v>
      </c>
      <c r="Q210" s="134">
        <v>46231</v>
      </c>
      <c r="R210" s="134"/>
      <c r="S210" s="135"/>
      <c r="T210" s="134"/>
      <c r="U210" s="134" t="s">
        <v>157</v>
      </c>
      <c r="V210" s="137">
        <f>IF(ISBLANK(Table1368[[#This Row],[Date réception Achat]]),"",IF(ISBLANK(Table1368[[#This Row],[Date revente]]),TODAY(),Table1368[[#This Row],[Date revente]])-Table1368[[#This Row],[Date réception Achat]])</f>
        <v>77</v>
      </c>
      <c r="W21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10" s="135">
        <f>IF(Table1368[[#This Row],[Prix de revente]]="","",Table1368[[#This Row],[Prix de revente]]-Table1368[[#This Row],[Prix total Achat]])</f>
      </c>
      <c r="Y210" s="138">
        <f>IF(Table1368[[#This Row],[Prix de revente]]="","",(Table1368[[#This Row],[Prix de revente]]/Table1368[[#This Row],[Prix total Achat]]))</f>
      </c>
      <c r="Z210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210" s="139">
        <f>IF(ISBLANK(Table1368[[#This Row],[Date relisting]]),"",IF(ISBLANK(Table1368[[#This Row],[Date relisting]]),TODAY(),Table1368[[#This Row],[Date relisting]])-Table1368[[#This Row],[Date réception Achat]])</f>
        <v>5</v>
      </c>
      <c r="AB210" s="139">
        <f>IF(ISBLANK(Table1368[[#This Row],[Date revente]]),"",IF(ISBLANK(Table1368[[#This Row],[Date revente]]),TODAY(),Table1368[[#This Row],[Date revente]])-Table1368[[#This Row],[Date relisting]])</f>
      </c>
      <c r="AC210" s="139">
        <f>IF(ISBLANK(Table1368[[#This Row],[Date revente]]),"",IF(ISBLANK(Table1368[[#This Row],[Date revente]]),TODAY(),Table1368[[#This Row],[Date revente]])-Table1368[[#This Row],[Date réception Achat]])</f>
      </c>
      <c r="AD210" s="139">
        <f>IF(ISBLANK(Table1368[[#This Row],[Date revente]]),"",IF(ISBLANK(Table1368[[#This Row],[Date revente]]),TODAY(),Table1368[[#This Row],[Date revente]])-Table1368[[#This Row],[Date achat]])</f>
      </c>
    </row>
    <row r="211" spans="1:30" x14ac:dyDescent="0.25">
      <c r="A211" s="134">
        <v>46141</v>
      </c>
      <c r="B211" s="141" t="s">
        <v>640</v>
      </c>
      <c r="C211" s="134" t="s">
        <v>641</v>
      </c>
      <c r="D211" s="127" t="s">
        <v>633</v>
      </c>
      <c r="E211" s="127"/>
      <c r="F211" s="127"/>
      <c r="G211" s="134" t="s">
        <v>163</v>
      </c>
      <c r="H211" s="127" t="s">
        <v>174</v>
      </c>
      <c r="I211" s="134" t="s">
        <v>165</v>
      </c>
      <c r="J211" s="134" t="s">
        <v>157</v>
      </c>
      <c r="K211" s="135">
        <v>12.221</v>
      </c>
      <c r="L211" s="135">
        <f>Table1368[[#This Row],[Prix total Achat]]-Table1368[[#This Row],[Prix article]]</f>
        <v>16.233063666666666</v>
      </c>
      <c r="M211" s="135">
        <v>28.454063666666666</v>
      </c>
      <c r="N211" s="134">
        <v>46226</v>
      </c>
      <c r="O211" s="136">
        <f>(Table1368[[#This Row],[Prix total Achat]]*2)</f>
        <v>56.90812733333333</v>
      </c>
      <c r="P211" s="136">
        <f>Table1368[[#This Row],[Prix Min voulu (x2 )]]*1.2</f>
        <v>68.2897528</v>
      </c>
      <c r="Q211" s="134">
        <v>46231</v>
      </c>
      <c r="R211" s="134">
        <v>46242</v>
      </c>
      <c r="S211" s="135">
        <v>89.1</v>
      </c>
      <c r="T211" s="134" t="s">
        <v>160</v>
      </c>
      <c r="U211" s="134" t="s">
        <v>157</v>
      </c>
      <c r="V211" s="137">
        <f>IF(ISBLANK(Table1368[[#This Row],[Date réception Achat]]),"",IF(ISBLANK(Table1368[[#This Row],[Date revente]]),TODAY(),Table1368[[#This Row],[Date revente]])-Table1368[[#This Row],[Date réception Achat]])</f>
        <v>16</v>
      </c>
      <c r="W21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11" s="135">
        <f>IF(Table1368[[#This Row],[Prix de revente]]="","",Table1368[[#This Row],[Prix de revente]]-Table1368[[#This Row],[Prix total Achat]])</f>
        <v>60.645936333333324</v>
      </c>
      <c r="Y211" s="138">
        <f>IF(Table1368[[#This Row],[Prix de revente]]="","",(Table1368[[#This Row],[Prix de revente]]/Table1368[[#This Row],[Prix total Achat]]))</f>
        <v>3.131362923896834</v>
      </c>
      <c r="Z211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211" s="139">
        <f>IF(ISBLANK(Table1368[[#This Row],[Date relisting]]),"",IF(ISBLANK(Table1368[[#This Row],[Date relisting]]),TODAY(),Table1368[[#This Row],[Date relisting]])-Table1368[[#This Row],[Date réception Achat]])</f>
        <v>5</v>
      </c>
      <c r="AB211" s="139">
        <f>IF(ISBLANK(Table1368[[#This Row],[Date revente]]),"",IF(ISBLANK(Table1368[[#This Row],[Date revente]]),TODAY(),Table1368[[#This Row],[Date revente]])-Table1368[[#This Row],[Date relisting]])</f>
        <v>11</v>
      </c>
      <c r="AC211" s="139">
        <f>IF(ISBLANK(Table1368[[#This Row],[Date revente]]),"",IF(ISBLANK(Table1368[[#This Row],[Date revente]]),TODAY(),Table1368[[#This Row],[Date revente]])-Table1368[[#This Row],[Date réception Achat]])</f>
        <v>16</v>
      </c>
      <c r="AD211" s="139">
        <f>IF(ISBLANK(Table1368[[#This Row],[Date revente]]),"",IF(ISBLANK(Table1368[[#This Row],[Date revente]]),TODAY(),Table1368[[#This Row],[Date revente]])-Table1368[[#This Row],[Date achat]])</f>
        <v>101</v>
      </c>
    </row>
    <row r="212" spans="1:30" x14ac:dyDescent="0.25">
      <c r="A212" s="134">
        <v>46141</v>
      </c>
      <c r="B212" s="141" t="s">
        <v>642</v>
      </c>
      <c r="C212" s="134" t="s">
        <v>643</v>
      </c>
      <c r="D212" s="127" t="s">
        <v>633</v>
      </c>
      <c r="E212" s="127"/>
      <c r="F212" s="127"/>
      <c r="G212" s="134" t="s">
        <v>408</v>
      </c>
      <c r="H212" s="127" t="s">
        <v>178</v>
      </c>
      <c r="I212" s="134" t="s">
        <v>165</v>
      </c>
      <c r="J212" s="134" t="s">
        <v>157</v>
      </c>
      <c r="K212" s="135">
        <v>22</v>
      </c>
      <c r="L212" s="135">
        <f>Table1368[[#This Row],[Prix total Achat]]-Table1368[[#This Row],[Prix article]]</f>
        <v>16.233063666666666</v>
      </c>
      <c r="M212" s="135">
        <v>38.233063666666666</v>
      </c>
      <c r="N212" s="134">
        <v>46226</v>
      </c>
      <c r="O212" s="136">
        <f>(Table1368[[#This Row],[Prix total Achat]]*2)</f>
        <v>76.46612733333333</v>
      </c>
      <c r="P212" s="136">
        <f>Table1368[[#This Row],[Prix Min voulu (x2 )]]*1.2</f>
        <v>91.7593528</v>
      </c>
      <c r="Q212" s="134">
        <v>46230</v>
      </c>
      <c r="R212" s="134"/>
      <c r="S212" s="135"/>
      <c r="T212" s="134"/>
      <c r="U212" s="134" t="s">
        <v>157</v>
      </c>
      <c r="V212" s="137">
        <f>IF(ISBLANK(Table1368[[#This Row],[Date réception Achat]]),"",IF(ISBLANK(Table1368[[#This Row],[Date revente]]),TODAY(),Table1368[[#This Row],[Date revente]])-Table1368[[#This Row],[Date réception Achat]])</f>
        <v>77</v>
      </c>
      <c r="W21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12" s="135">
        <f>IF(Table1368[[#This Row],[Prix de revente]]="","",Table1368[[#This Row],[Prix de revente]]-Table1368[[#This Row],[Prix total Achat]])</f>
      </c>
      <c r="Y212" s="138">
        <f>IF(Table1368[[#This Row],[Prix de revente]]="","",(Table1368[[#This Row],[Prix de revente]]/Table1368[[#This Row],[Prix total Achat]]))</f>
      </c>
      <c r="Z212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212" s="139">
        <f>IF(ISBLANK(Table1368[[#This Row],[Date relisting]]),"",IF(ISBLANK(Table1368[[#This Row],[Date relisting]]),TODAY(),Table1368[[#This Row],[Date relisting]])-Table1368[[#This Row],[Date réception Achat]])</f>
        <v>4</v>
      </c>
      <c r="AB212" s="139">
        <f>IF(ISBLANK(Table1368[[#This Row],[Date revente]]),"",IF(ISBLANK(Table1368[[#This Row],[Date revente]]),TODAY(),Table1368[[#This Row],[Date revente]])-Table1368[[#This Row],[Date relisting]])</f>
      </c>
      <c r="AC212" s="139">
        <f>IF(ISBLANK(Table1368[[#This Row],[Date revente]]),"",IF(ISBLANK(Table1368[[#This Row],[Date revente]]),TODAY(),Table1368[[#This Row],[Date revente]])-Table1368[[#This Row],[Date réception Achat]])</f>
      </c>
      <c r="AD212" s="139">
        <f>IF(ISBLANK(Table1368[[#This Row],[Date revente]]),"",IF(ISBLANK(Table1368[[#This Row],[Date revente]]),TODAY(),Table1368[[#This Row],[Date revente]])-Table1368[[#This Row],[Date achat]])</f>
      </c>
    </row>
    <row r="213" spans="1:30" x14ac:dyDescent="0.25">
      <c r="A213" s="134">
        <v>46143</v>
      </c>
      <c r="B213" s="141" t="s">
        <v>644</v>
      </c>
      <c r="C213" s="134" t="s">
        <v>645</v>
      </c>
      <c r="D213" s="127" t="s">
        <v>157</v>
      </c>
      <c r="E213" s="127"/>
      <c r="F213" s="127"/>
      <c r="G213" s="134" t="s">
        <v>228</v>
      </c>
      <c r="H213" s="127" t="s">
        <v>341</v>
      </c>
      <c r="I213" s="134" t="s">
        <v>160</v>
      </c>
      <c r="J213" s="134" t="s">
        <v>157</v>
      </c>
      <c r="K213" s="135">
        <v>3</v>
      </c>
      <c r="L213" s="135">
        <f>Table1368[[#This Row],[Prix total Achat]]-Table1368[[#This Row],[Prix article]]</f>
        <v>4.8</v>
      </c>
      <c r="M213" s="135">
        <v>7.8</v>
      </c>
      <c r="N213" s="134">
        <v>46153</v>
      </c>
      <c r="O213" s="136">
        <f>(Table1368[[#This Row],[Prix total Achat]]*2)</f>
        <v>15.6</v>
      </c>
      <c r="P213" s="136">
        <f>Table1368[[#This Row],[Prix Min voulu (x2 )]]*1.2</f>
        <v>18.72</v>
      </c>
      <c r="Q213" s="134">
        <v>46153</v>
      </c>
      <c r="R213" s="134">
        <v>46154</v>
      </c>
      <c r="S213" s="135">
        <v>35.1</v>
      </c>
      <c r="T213" s="134" t="s">
        <v>160</v>
      </c>
      <c r="U213" s="134" t="s">
        <v>157</v>
      </c>
      <c r="V213" s="137">
        <f>IF(ISBLANK(Table1368[[#This Row],[Date réception Achat]]),"",IF(ISBLANK(Table1368[[#This Row],[Date revente]]),TODAY(),Table1368[[#This Row],[Date revente]])-Table1368[[#This Row],[Date réception Achat]])</f>
        <v>1</v>
      </c>
      <c r="W21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13" s="135">
        <f>IF(Table1368[[#This Row],[Prix de revente]]="","",Table1368[[#This Row],[Prix de revente]]-Table1368[[#This Row],[Prix total Achat]])</f>
        <v>27.3</v>
      </c>
      <c r="Y213" s="138">
        <f>IF(Table1368[[#This Row],[Prix de revente]]="","",(Table1368[[#This Row],[Prix de revente]]/Table1368[[#This Row],[Prix total Achat]]))</f>
        <v>4.5</v>
      </c>
      <c r="Z213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13" s="139">
        <f>IF(ISBLANK(Table1368[[#This Row],[Date relisting]]),"",IF(ISBLANK(Table1368[[#This Row],[Date relisting]]),TODAY(),Table1368[[#This Row],[Date relisting]])-Table1368[[#This Row],[Date réception Achat]])</f>
        <v>0</v>
      </c>
      <c r="AB213" s="139">
        <f>IF(ISBLANK(Table1368[[#This Row],[Date revente]]),"",IF(ISBLANK(Table1368[[#This Row],[Date revente]]),TODAY(),Table1368[[#This Row],[Date revente]])-Table1368[[#This Row],[Date relisting]])</f>
        <v>1</v>
      </c>
      <c r="AC213" s="139">
        <f>IF(ISBLANK(Table1368[[#This Row],[Date revente]]),"",IF(ISBLANK(Table1368[[#This Row],[Date revente]]),TODAY(),Table1368[[#This Row],[Date revente]])-Table1368[[#This Row],[Date réception Achat]])</f>
        <v>1</v>
      </c>
      <c r="AD213" s="139">
        <f>IF(ISBLANK(Table1368[[#This Row],[Date revente]]),"",IF(ISBLANK(Table1368[[#This Row],[Date revente]]),TODAY(),Table1368[[#This Row],[Date revente]])-Table1368[[#This Row],[Date achat]])</f>
        <v>11</v>
      </c>
    </row>
    <row r="214" spans="1:30" x14ac:dyDescent="0.25">
      <c r="A214" s="134">
        <v>46143</v>
      </c>
      <c r="B214" s="141" t="s">
        <v>646</v>
      </c>
      <c r="C214" s="134" t="s">
        <v>647</v>
      </c>
      <c r="D214" s="127" t="s">
        <v>157</v>
      </c>
      <c r="E214" s="127"/>
      <c r="F214" s="127"/>
      <c r="G214" s="134" t="s">
        <v>488</v>
      </c>
      <c r="H214" s="127" t="s">
        <v>648</v>
      </c>
      <c r="I214" s="134" t="s">
        <v>160</v>
      </c>
      <c r="J214" s="134" t="s">
        <v>157</v>
      </c>
      <c r="K214" s="135">
        <v>7</v>
      </c>
      <c r="L214" s="135">
        <f>Table1368[[#This Row],[Prix total Achat]]-Table1368[[#This Row],[Prix article]]</f>
        <v>5.6</v>
      </c>
      <c r="M214" s="135">
        <v>12.6</v>
      </c>
      <c r="N214" s="134">
        <v>46153</v>
      </c>
      <c r="O214" s="136">
        <f>(Table1368[[#This Row],[Prix total Achat]]*2)</f>
        <v>25.2</v>
      </c>
      <c r="P214" s="136">
        <f>Table1368[[#This Row],[Prix Min voulu (x2 )]]*1.2</f>
        <v>30.24</v>
      </c>
      <c r="Q214" s="134">
        <v>46155</v>
      </c>
      <c r="R214" s="134">
        <v>46164</v>
      </c>
      <c r="S214" s="135">
        <v>120</v>
      </c>
      <c r="T214" s="134" t="s">
        <v>160</v>
      </c>
      <c r="U214" s="134" t="s">
        <v>157</v>
      </c>
      <c r="V214" s="137">
        <f>IF(ISBLANK(Table1368[[#This Row],[Date réception Achat]]),"",IF(ISBLANK(Table1368[[#This Row],[Date revente]]),TODAY(),Table1368[[#This Row],[Date revente]])-Table1368[[#This Row],[Date réception Achat]])</f>
        <v>11</v>
      </c>
      <c r="W21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14" s="135">
        <f>IF(Table1368[[#This Row],[Prix de revente]]="","",Table1368[[#This Row],[Prix de revente]]-Table1368[[#This Row],[Prix total Achat]])</f>
        <v>107.4</v>
      </c>
      <c r="Y214" s="138">
        <f>IF(Table1368[[#This Row],[Prix de revente]]="","",(Table1368[[#This Row],[Prix de revente]]/Table1368[[#This Row],[Prix total Achat]]))</f>
        <v>9.523809523809524</v>
      </c>
      <c r="Z214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14" s="139">
        <f>IF(ISBLANK(Table1368[[#This Row],[Date relisting]]),"",IF(ISBLANK(Table1368[[#This Row],[Date relisting]]),TODAY(),Table1368[[#This Row],[Date relisting]])-Table1368[[#This Row],[Date réception Achat]])</f>
        <v>2</v>
      </c>
      <c r="AB214" s="139">
        <f>IF(ISBLANK(Table1368[[#This Row],[Date revente]]),"",IF(ISBLANK(Table1368[[#This Row],[Date revente]]),TODAY(),Table1368[[#This Row],[Date revente]])-Table1368[[#This Row],[Date relisting]])</f>
        <v>9</v>
      </c>
      <c r="AC214" s="139">
        <f>IF(ISBLANK(Table1368[[#This Row],[Date revente]]),"",IF(ISBLANK(Table1368[[#This Row],[Date revente]]),TODAY(),Table1368[[#This Row],[Date revente]])-Table1368[[#This Row],[Date réception Achat]])</f>
        <v>11</v>
      </c>
      <c r="AD214" s="139">
        <f>IF(ISBLANK(Table1368[[#This Row],[Date revente]]),"",IF(ISBLANK(Table1368[[#This Row],[Date revente]]),TODAY(),Table1368[[#This Row],[Date revente]])-Table1368[[#This Row],[Date achat]])</f>
        <v>21</v>
      </c>
    </row>
    <row r="215" spans="1:30" x14ac:dyDescent="0.25">
      <c r="A215" s="134">
        <v>46144</v>
      </c>
      <c r="B215" s="141" t="s">
        <v>200</v>
      </c>
      <c r="C215" s="134" t="s">
        <v>649</v>
      </c>
      <c r="D215" s="156" t="s">
        <v>157</v>
      </c>
      <c r="E215" s="156"/>
      <c r="F215" s="156"/>
      <c r="G215" s="134" t="s">
        <v>650</v>
      </c>
      <c r="H215" s="127" t="s">
        <v>178</v>
      </c>
      <c r="I215" s="134" t="s">
        <v>160</v>
      </c>
      <c r="J215" s="134" t="s">
        <v>157</v>
      </c>
      <c r="K215" s="135">
        <v>35</v>
      </c>
      <c r="L215" s="135">
        <f>Table1368[[#This Row],[Prix total Achat]]-Table1368[[#This Row],[Prix article]]</f>
        <v>5.68</v>
      </c>
      <c r="M215" s="135">
        <v>40.68</v>
      </c>
      <c r="N215" s="134">
        <v>46158</v>
      </c>
      <c r="O215" s="136">
        <f>(Table1368[[#This Row],[Prix total Achat]]*2)</f>
        <v>81.36</v>
      </c>
      <c r="P215" s="136">
        <f>Table1368[[#This Row],[Prix Min voulu (x2 )]]*1.2</f>
        <v>97.63199999999999</v>
      </c>
      <c r="Q215" s="134">
        <v>46158</v>
      </c>
      <c r="R215" s="134"/>
      <c r="S215" s="135"/>
      <c r="T215" s="134"/>
      <c r="U215" s="134" t="s">
        <v>157</v>
      </c>
      <c r="V215" s="137">
        <f>IF(ISBLANK(Table1368[[#This Row],[Date réception Achat]]),"",IF(ISBLANK(Table1368[[#This Row],[Date revente]]),TODAY(),Table1368[[#This Row],[Date revente]])-Table1368[[#This Row],[Date réception Achat]])</f>
        <v>145</v>
      </c>
      <c r="W21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15" s="135">
        <f>IF(Table1368[[#This Row],[Prix de revente]]="","",Table1368[[#This Row],[Prix de revente]]-Table1368[[#This Row],[Prix total Achat]])</f>
      </c>
      <c r="Y215" s="138">
        <f>IF(Table1368[[#This Row],[Prix de revente]]="","",(Table1368[[#This Row],[Prix de revente]]/Table1368[[#This Row],[Prix total Achat]]))</f>
      </c>
      <c r="Z215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215" s="139">
        <f>IF(ISBLANK(Table1368[[#This Row],[Date relisting]]),"",IF(ISBLANK(Table1368[[#This Row],[Date relisting]]),TODAY(),Table1368[[#This Row],[Date relisting]])-Table1368[[#This Row],[Date réception Achat]])</f>
        <v>0</v>
      </c>
      <c r="AB215" s="139">
        <f>IF(ISBLANK(Table1368[[#This Row],[Date revente]]),"",IF(ISBLANK(Table1368[[#This Row],[Date revente]]),TODAY(),Table1368[[#This Row],[Date revente]])-Table1368[[#This Row],[Date relisting]])</f>
      </c>
      <c r="AC215" s="139">
        <f>IF(ISBLANK(Table1368[[#This Row],[Date revente]]),"",IF(ISBLANK(Table1368[[#This Row],[Date revente]]),TODAY(),Table1368[[#This Row],[Date revente]])-Table1368[[#This Row],[Date réception Achat]])</f>
      </c>
      <c r="AD215" s="139">
        <f>IF(ISBLANK(Table1368[[#This Row],[Date revente]]),"",IF(ISBLANK(Table1368[[#This Row],[Date revente]]),TODAY(),Table1368[[#This Row],[Date revente]])-Table1368[[#This Row],[Date achat]])</f>
      </c>
    </row>
    <row r="216" spans="1:30" x14ac:dyDescent="0.25">
      <c r="A216" s="134" t="s">
        <v>651</v>
      </c>
      <c r="B216" s="141" t="s">
        <v>644</v>
      </c>
      <c r="C216" s="134" t="s">
        <v>652</v>
      </c>
      <c r="D216" s="156" t="s">
        <v>157</v>
      </c>
      <c r="E216" s="156"/>
      <c r="F216" s="156"/>
      <c r="G216" s="134" t="s">
        <v>228</v>
      </c>
      <c r="H216" s="127" t="s">
        <v>341</v>
      </c>
      <c r="I216" s="134" t="s">
        <v>160</v>
      </c>
      <c r="J216" s="134" t="s">
        <v>157</v>
      </c>
      <c r="K216" s="135">
        <v>15</v>
      </c>
      <c r="L216" s="135">
        <f>Table1368[[#This Row],[Prix total Achat]]-Table1368[[#This Row],[Prix article]]</f>
        <v>4.68</v>
      </c>
      <c r="M216" s="135">
        <v>19.68</v>
      </c>
      <c r="N216" s="134">
        <v>46158</v>
      </c>
      <c r="O216" s="136">
        <f>(Table1368[[#This Row],[Prix total Achat]]*2)</f>
        <v>39.36</v>
      </c>
      <c r="P216" s="136">
        <f>Table1368[[#This Row],[Prix Min voulu (x2 )]]*1.2</f>
        <v>47.232</v>
      </c>
      <c r="Q216" s="134">
        <v>46158</v>
      </c>
      <c r="R216" s="134">
        <v>46158</v>
      </c>
      <c r="S216" s="135">
        <v>75</v>
      </c>
      <c r="T216" s="134" t="s">
        <v>160</v>
      </c>
      <c r="U216" s="134" t="s">
        <v>157</v>
      </c>
      <c r="V216" s="137">
        <f>IF(ISBLANK(Table1368[[#This Row],[Date réception Achat]]),"",IF(ISBLANK(Table1368[[#This Row],[Date revente]]),TODAY(),Table1368[[#This Row],[Date revente]])-Table1368[[#This Row],[Date réception Achat]])</f>
        <v>0</v>
      </c>
      <c r="W21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16" s="135">
        <f>IF(Table1368[[#This Row],[Prix de revente]]="","",Table1368[[#This Row],[Prix de revente]]-Table1368[[#This Row],[Prix total Achat]])</f>
        <v>55.32</v>
      </c>
      <c r="Y216" s="138">
        <f>IF(Table1368[[#This Row],[Prix de revente]]="","",(Table1368[[#This Row],[Prix de revente]]/Table1368[[#This Row],[Prix total Achat]]))</f>
        <v>3.8109756097560976</v>
      </c>
      <c r="Z216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216" s="139">
        <f>IF(ISBLANK(Table1368[[#This Row],[Date relisting]]),"",IF(ISBLANK(Table1368[[#This Row],[Date relisting]]),TODAY(),Table1368[[#This Row],[Date relisting]])-Table1368[[#This Row],[Date réception Achat]])</f>
        <v>0</v>
      </c>
      <c r="AB216" s="139">
        <f>IF(ISBLANK(Table1368[[#This Row],[Date revente]]),"",IF(ISBLANK(Table1368[[#This Row],[Date revente]]),TODAY(),Table1368[[#This Row],[Date revente]])-Table1368[[#This Row],[Date relisting]])</f>
        <v>0</v>
      </c>
      <c r="AC216" s="139">
        <f>IF(ISBLANK(Table1368[[#This Row],[Date revente]]),"",IF(ISBLANK(Table1368[[#This Row],[Date revente]]),TODAY(),Table1368[[#This Row],[Date revente]])-Table1368[[#This Row],[Date réception Achat]])</f>
        <v>0</v>
      </c>
      <c r="AD216" s="139">
        <f>IF(ISBLANK(Table1368[[#This Row],[Date revente]]),"",IF(ISBLANK(Table1368[[#This Row],[Date revente]]),TODAY(),Table1368[[#This Row],[Date revente]])-Table1368[[#This Row],[Date achat]])</f>
        <v>12</v>
      </c>
    </row>
    <row r="217" spans="1:30" x14ac:dyDescent="0.25">
      <c r="A217" s="134">
        <v>46147</v>
      </c>
      <c r="B217" s="141" t="s">
        <v>644</v>
      </c>
      <c r="C217" s="134" t="s">
        <v>653</v>
      </c>
      <c r="D217" s="156" t="s">
        <v>157</v>
      </c>
      <c r="E217" s="156"/>
      <c r="F217" s="156"/>
      <c r="G217" s="134" t="s">
        <v>228</v>
      </c>
      <c r="H217" s="127" t="s">
        <v>251</v>
      </c>
      <c r="I217" s="134" t="s">
        <v>160</v>
      </c>
      <c r="J217" s="134" t="s">
        <v>157</v>
      </c>
      <c r="K217" s="135">
        <v>15</v>
      </c>
      <c r="L217" s="135">
        <f>Table1368[[#This Row],[Prix total Achat]]-Table1368[[#This Row],[Prix article]]</f>
        <v>4.280000000000001</v>
      </c>
      <c r="M217" s="135">
        <v>19.28</v>
      </c>
      <c r="N217" s="134">
        <v>46155</v>
      </c>
      <c r="O217" s="136">
        <f>(Table1368[[#This Row],[Prix total Achat]]*2)</f>
        <v>38.56</v>
      </c>
      <c r="P217" s="136">
        <f>Table1368[[#This Row],[Prix Min voulu (x2 )]]*1.2</f>
        <v>46.272</v>
      </c>
      <c r="Q217" s="134">
        <v>46157</v>
      </c>
      <c r="R217" s="134">
        <v>46159</v>
      </c>
      <c r="S217" s="135">
        <v>45</v>
      </c>
      <c r="T217" s="134" t="s">
        <v>160</v>
      </c>
      <c r="U217" s="134" t="s">
        <v>157</v>
      </c>
      <c r="V217" s="137">
        <f>IF(ISBLANK(Table1368[[#This Row],[Date réception Achat]]),"",IF(ISBLANK(Table1368[[#This Row],[Date revente]]),TODAY(),Table1368[[#This Row],[Date revente]])-Table1368[[#This Row],[Date réception Achat]])</f>
        <v>4</v>
      </c>
      <c r="W21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17" s="135">
        <f>IF(Table1368[[#This Row],[Prix de revente]]="","",Table1368[[#This Row],[Prix de revente]]-Table1368[[#This Row],[Prix total Achat]])</f>
        <v>25.72</v>
      </c>
      <c r="Y217" s="138">
        <f>IF(Table1368[[#This Row],[Prix de revente]]="","",(Table1368[[#This Row],[Prix de revente]]/Table1368[[#This Row],[Prix total Achat]]))</f>
        <v>2.33402489626556</v>
      </c>
      <c r="Z217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217" s="139">
        <f>IF(ISBLANK(Table1368[[#This Row],[Date relisting]]),"",IF(ISBLANK(Table1368[[#This Row],[Date relisting]]),TODAY(),Table1368[[#This Row],[Date relisting]])-Table1368[[#This Row],[Date réception Achat]])</f>
        <v>2</v>
      </c>
      <c r="AB217" s="139">
        <f>IF(ISBLANK(Table1368[[#This Row],[Date revente]]),"",IF(ISBLANK(Table1368[[#This Row],[Date revente]]),TODAY(),Table1368[[#This Row],[Date revente]])-Table1368[[#This Row],[Date relisting]])</f>
        <v>2</v>
      </c>
      <c r="AC217" s="139">
        <f>IF(ISBLANK(Table1368[[#This Row],[Date revente]]),"",IF(ISBLANK(Table1368[[#This Row],[Date revente]]),TODAY(),Table1368[[#This Row],[Date revente]])-Table1368[[#This Row],[Date réception Achat]])</f>
        <v>4</v>
      </c>
      <c r="AD217" s="139">
        <f>IF(ISBLANK(Table1368[[#This Row],[Date revente]]),"",IF(ISBLANK(Table1368[[#This Row],[Date revente]]),TODAY(),Table1368[[#This Row],[Date revente]])-Table1368[[#This Row],[Date achat]])</f>
        <v>12</v>
      </c>
    </row>
    <row r="218" spans="1:30" x14ac:dyDescent="0.25">
      <c r="A218" s="134">
        <v>46147</v>
      </c>
      <c r="B218" s="141" t="s">
        <v>654</v>
      </c>
      <c r="C218" s="134" t="s">
        <v>655</v>
      </c>
      <c r="D218" s="156" t="s">
        <v>157</v>
      </c>
      <c r="E218" s="156"/>
      <c r="F218" s="156"/>
      <c r="G218" s="134" t="s">
        <v>392</v>
      </c>
      <c r="H218" s="127" t="s">
        <v>178</v>
      </c>
      <c r="I218" s="134" t="s">
        <v>160</v>
      </c>
      <c r="J218" s="134" t="s">
        <v>189</v>
      </c>
      <c r="K218" s="135">
        <v>25</v>
      </c>
      <c r="L218" s="135">
        <f>Table1368[[#This Row],[Prix total Achat]]-Table1368[[#This Row],[Prix article]]</f>
        <v>4.399999999999999</v>
      </c>
      <c r="M218" s="135">
        <v>29.4</v>
      </c>
      <c r="N218" s="134">
        <v>46157</v>
      </c>
      <c r="O218" s="136">
        <f>(Table1368[[#This Row],[Prix total Achat]]*2)</f>
        <v>58.8</v>
      </c>
      <c r="P218" s="136">
        <f>Table1368[[#This Row],[Prix Min voulu (x2 )]]*1.2</f>
        <v>70.55999999999999</v>
      </c>
      <c r="Q218" s="134">
        <v>46159</v>
      </c>
      <c r="R218" s="134">
        <v>46178</v>
      </c>
      <c r="S218" s="135">
        <v>70</v>
      </c>
      <c r="T218" s="134" t="s">
        <v>160</v>
      </c>
      <c r="U218" s="134" t="s">
        <v>157</v>
      </c>
      <c r="V218" s="137">
        <f>IF(ISBLANK(Table1368[[#This Row],[Date réception Achat]]),"",IF(ISBLANK(Table1368[[#This Row],[Date revente]]),TODAY(),Table1368[[#This Row],[Date revente]])-Table1368[[#This Row],[Date réception Achat]])</f>
        <v>21</v>
      </c>
      <c r="W21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18" s="135">
        <f>IF(Table1368[[#This Row],[Prix de revente]]="","",Table1368[[#This Row],[Prix de revente]]-Table1368[[#This Row],[Prix total Achat]])</f>
        <v>40.6</v>
      </c>
      <c r="Y218" s="138">
        <f>IF(Table1368[[#This Row],[Prix de revente]]="","",(Table1368[[#This Row],[Prix de revente]]/Table1368[[#This Row],[Prix total Achat]]))</f>
        <v>2.380952380952381</v>
      </c>
      <c r="Z218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18" s="139">
        <f>IF(ISBLANK(Table1368[[#This Row],[Date relisting]]),"",IF(ISBLANK(Table1368[[#This Row],[Date relisting]]),TODAY(),Table1368[[#This Row],[Date relisting]])-Table1368[[#This Row],[Date réception Achat]])</f>
        <v>2</v>
      </c>
      <c r="AB218" s="139">
        <f>IF(ISBLANK(Table1368[[#This Row],[Date revente]]),"",IF(ISBLANK(Table1368[[#This Row],[Date revente]]),TODAY(),Table1368[[#This Row],[Date revente]])-Table1368[[#This Row],[Date relisting]])</f>
        <v>19</v>
      </c>
      <c r="AC218" s="139">
        <f>IF(ISBLANK(Table1368[[#This Row],[Date revente]]),"",IF(ISBLANK(Table1368[[#This Row],[Date revente]]),TODAY(),Table1368[[#This Row],[Date revente]])-Table1368[[#This Row],[Date réception Achat]])</f>
        <v>21</v>
      </c>
      <c r="AD218" s="139">
        <f>IF(ISBLANK(Table1368[[#This Row],[Date revente]]),"",IF(ISBLANK(Table1368[[#This Row],[Date revente]]),TODAY(),Table1368[[#This Row],[Date revente]])-Table1368[[#This Row],[Date achat]])</f>
        <v>31</v>
      </c>
    </row>
    <row r="219" spans="1:30" x14ac:dyDescent="0.25">
      <c r="A219" s="134">
        <v>46147</v>
      </c>
      <c r="B219" s="141" t="s">
        <v>654</v>
      </c>
      <c r="C219" s="134" t="s">
        <v>656</v>
      </c>
      <c r="D219" s="156" t="s">
        <v>157</v>
      </c>
      <c r="E219" s="156"/>
      <c r="F219" s="156"/>
      <c r="G219" s="134" t="s">
        <v>392</v>
      </c>
      <c r="H219" s="127" t="s">
        <v>178</v>
      </c>
      <c r="I219" s="134" t="s">
        <v>160</v>
      </c>
      <c r="J219" s="134" t="s">
        <v>189</v>
      </c>
      <c r="K219" s="135">
        <v>25</v>
      </c>
      <c r="L219" s="135">
        <f>Table1368[[#This Row],[Prix total Achat]]-Table1368[[#This Row],[Prix article]]</f>
        <v>4.399999999999999</v>
      </c>
      <c r="M219" s="135">
        <v>29.4</v>
      </c>
      <c r="N219" s="134">
        <v>46157</v>
      </c>
      <c r="O219" s="136">
        <f>(Table1368[[#This Row],[Prix total Achat]]*2)</f>
        <v>58.8</v>
      </c>
      <c r="P219" s="136">
        <f>Table1368[[#This Row],[Prix Min voulu (x2 )]]*1.2</f>
        <v>70.55999999999999</v>
      </c>
      <c r="Q219" s="134">
        <v>46159</v>
      </c>
      <c r="R219" s="134">
        <v>46190</v>
      </c>
      <c r="S219" s="135">
        <v>65</v>
      </c>
      <c r="T219" s="134" t="s">
        <v>160</v>
      </c>
      <c r="U219" s="134" t="s">
        <v>157</v>
      </c>
      <c r="V219" s="137">
        <f>IF(ISBLANK(Table1368[[#This Row],[Date réception Achat]]),"",IF(ISBLANK(Table1368[[#This Row],[Date revente]]),TODAY(),Table1368[[#This Row],[Date revente]])-Table1368[[#This Row],[Date réception Achat]])</f>
        <v>33</v>
      </c>
      <c r="W21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19" s="135">
        <f>IF(Table1368[[#This Row],[Prix de revente]]="","",Table1368[[#This Row],[Prix de revente]]-Table1368[[#This Row],[Prix total Achat]])</f>
        <v>35.6</v>
      </c>
      <c r="Y219" s="138">
        <f>IF(Table1368[[#This Row],[Prix de revente]]="","",(Table1368[[#This Row],[Prix de revente]]/Table1368[[#This Row],[Prix total Achat]]))</f>
        <v>2.2108843537414966</v>
      </c>
      <c r="Z219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19" s="139">
        <f>IF(ISBLANK(Table1368[[#This Row],[Date relisting]]),"",IF(ISBLANK(Table1368[[#This Row],[Date relisting]]),TODAY(),Table1368[[#This Row],[Date relisting]])-Table1368[[#This Row],[Date réception Achat]])</f>
        <v>2</v>
      </c>
      <c r="AB219" s="139">
        <f>IF(ISBLANK(Table1368[[#This Row],[Date revente]]),"",IF(ISBLANK(Table1368[[#This Row],[Date revente]]),TODAY(),Table1368[[#This Row],[Date revente]])-Table1368[[#This Row],[Date relisting]])</f>
        <v>31</v>
      </c>
      <c r="AC219" s="139">
        <f>IF(ISBLANK(Table1368[[#This Row],[Date revente]]),"",IF(ISBLANK(Table1368[[#This Row],[Date revente]]),TODAY(),Table1368[[#This Row],[Date revente]])-Table1368[[#This Row],[Date réception Achat]])</f>
        <v>33</v>
      </c>
      <c r="AD219" s="139">
        <f>IF(ISBLANK(Table1368[[#This Row],[Date revente]]),"",IF(ISBLANK(Table1368[[#This Row],[Date revente]]),TODAY(),Table1368[[#This Row],[Date revente]])-Table1368[[#This Row],[Date achat]])</f>
        <v>43</v>
      </c>
    </row>
    <row r="220" spans="1:30" x14ac:dyDescent="0.25">
      <c r="A220" s="134">
        <v>46148</v>
      </c>
      <c r="B220" s="141" t="s">
        <v>657</v>
      </c>
      <c r="C220" s="134" t="s">
        <v>658</v>
      </c>
      <c r="D220" s="156" t="s">
        <v>157</v>
      </c>
      <c r="E220" s="156"/>
      <c r="F220" s="156"/>
      <c r="G220" s="134" t="s">
        <v>659</v>
      </c>
      <c r="H220" s="127" t="s">
        <v>164</v>
      </c>
      <c r="I220" s="134" t="s">
        <v>160</v>
      </c>
      <c r="J220" s="134" t="s">
        <v>157</v>
      </c>
      <c r="K220" s="135">
        <v>40</v>
      </c>
      <c r="L220" s="135">
        <f>Table1368[[#This Row],[Prix total Achat]]-Table1368[[#This Row],[Prix article]]</f>
        <v>5.789999999999999</v>
      </c>
      <c r="M220" s="135">
        <v>45.79</v>
      </c>
      <c r="N220" s="134">
        <v>46164</v>
      </c>
      <c r="O220" s="136">
        <f>(Table1368[[#This Row],[Prix total Achat]]*2)</f>
        <v>91.58</v>
      </c>
      <c r="P220" s="136">
        <f>Table1368[[#This Row],[Prix Min voulu (x2 )]]*1.2</f>
        <v>109.896</v>
      </c>
      <c r="Q220" s="134">
        <v>46165</v>
      </c>
      <c r="R220" s="134">
        <v>46166</v>
      </c>
      <c r="S220" s="135">
        <v>110</v>
      </c>
      <c r="T220" s="134" t="s">
        <v>160</v>
      </c>
      <c r="U220" s="134" t="s">
        <v>157</v>
      </c>
      <c r="V220" s="137">
        <f>IF(ISBLANK(Table1368[[#This Row],[Date réception Achat]]),"",IF(ISBLANK(Table1368[[#This Row],[Date revente]]),TODAY(),Table1368[[#This Row],[Date revente]])-Table1368[[#This Row],[Date réception Achat]])</f>
        <v>2</v>
      </c>
      <c r="W22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20" s="135">
        <f>IF(Table1368[[#This Row],[Prix de revente]]="","",Table1368[[#This Row],[Prix de revente]]-Table1368[[#This Row],[Prix total Achat]])</f>
        <v>64.21000000000001</v>
      </c>
      <c r="Y220" s="138">
        <f>IF(Table1368[[#This Row],[Prix de revente]]="","",(Table1368[[#This Row],[Prix de revente]]/Table1368[[#This Row],[Prix total Achat]]))</f>
        <v>2.4022712382616294</v>
      </c>
      <c r="Z220" s="139">
        <f>IF(ISBLANK(Table1368[[#This Row],[Date réception Achat]]),"",IF(ISBLANK(Table1368[[#This Row],[Date réception Achat]]),TODAY(),Table1368[[#This Row],[Date réception Achat]])-Table1368[[#This Row],[Date achat]])</f>
        <v>16</v>
      </c>
      <c r="AA220" s="139">
        <f>IF(ISBLANK(Table1368[[#This Row],[Date relisting]]),"",IF(ISBLANK(Table1368[[#This Row],[Date relisting]]),TODAY(),Table1368[[#This Row],[Date relisting]])-Table1368[[#This Row],[Date réception Achat]])</f>
        <v>1</v>
      </c>
      <c r="AB220" s="139">
        <f>IF(ISBLANK(Table1368[[#This Row],[Date revente]]),"",IF(ISBLANK(Table1368[[#This Row],[Date revente]]),TODAY(),Table1368[[#This Row],[Date revente]])-Table1368[[#This Row],[Date relisting]])</f>
        <v>1</v>
      </c>
      <c r="AC220" s="139">
        <f>IF(ISBLANK(Table1368[[#This Row],[Date revente]]),"",IF(ISBLANK(Table1368[[#This Row],[Date revente]]),TODAY(),Table1368[[#This Row],[Date revente]])-Table1368[[#This Row],[Date réception Achat]])</f>
        <v>2</v>
      </c>
      <c r="AD220" s="139">
        <f>IF(ISBLANK(Table1368[[#This Row],[Date revente]]),"",IF(ISBLANK(Table1368[[#This Row],[Date revente]]),TODAY(),Table1368[[#This Row],[Date revente]])-Table1368[[#This Row],[Date achat]])</f>
        <v>18</v>
      </c>
    </row>
    <row r="221" spans="1:30" x14ac:dyDescent="0.25">
      <c r="A221" s="134">
        <v>46150</v>
      </c>
      <c r="B221" s="141" t="s">
        <v>660</v>
      </c>
      <c r="C221" s="134" t="s">
        <v>661</v>
      </c>
      <c r="D221" s="156" t="s">
        <v>157</v>
      </c>
      <c r="E221" s="156"/>
      <c r="F221" s="156"/>
      <c r="G221" s="134" t="s">
        <v>659</v>
      </c>
      <c r="H221" s="127" t="s">
        <v>341</v>
      </c>
      <c r="I221" s="134" t="s">
        <v>160</v>
      </c>
      <c r="J221" s="134" t="s">
        <v>157</v>
      </c>
      <c r="K221" s="135">
        <v>40</v>
      </c>
      <c r="L221" s="135">
        <f>Table1368[[#This Row],[Prix total Achat]]-Table1368[[#This Row],[Prix article]]</f>
        <v>5.890000000000001</v>
      </c>
      <c r="M221" s="135">
        <v>45.89</v>
      </c>
      <c r="N221" s="134">
        <v>46155</v>
      </c>
      <c r="O221" s="136">
        <f>(Table1368[[#This Row],[Prix total Achat]]*2)</f>
        <v>91.78</v>
      </c>
      <c r="P221" s="136">
        <f>Table1368[[#This Row],[Prix Min voulu (x2 )]]*1.2</f>
        <v>110.136</v>
      </c>
      <c r="Q221" s="134">
        <v>46157</v>
      </c>
      <c r="R221" s="134">
        <v>46157</v>
      </c>
      <c r="S221" s="135">
        <v>125</v>
      </c>
      <c r="T221" s="134" t="s">
        <v>160</v>
      </c>
      <c r="U221" s="134" t="s">
        <v>157</v>
      </c>
      <c r="V221" s="137">
        <f>IF(ISBLANK(Table1368[[#This Row],[Date réception Achat]]),"",IF(ISBLANK(Table1368[[#This Row],[Date revente]]),TODAY(),Table1368[[#This Row],[Date revente]])-Table1368[[#This Row],[Date réception Achat]])</f>
        <v>2</v>
      </c>
      <c r="W22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21" s="135">
        <f>IF(Table1368[[#This Row],[Prix de revente]]="","",Table1368[[#This Row],[Prix de revente]]-Table1368[[#This Row],[Prix total Achat]])</f>
        <v>79.11</v>
      </c>
      <c r="Y221" s="138">
        <f>IF(Table1368[[#This Row],[Prix de revente]]="","",(Table1368[[#This Row],[Prix de revente]]/Table1368[[#This Row],[Prix total Achat]]))</f>
        <v>2.723904990193942</v>
      </c>
      <c r="Z221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221" s="139">
        <f>IF(ISBLANK(Table1368[[#This Row],[Date relisting]]),"",IF(ISBLANK(Table1368[[#This Row],[Date relisting]]),TODAY(),Table1368[[#This Row],[Date relisting]])-Table1368[[#This Row],[Date réception Achat]])</f>
        <v>2</v>
      </c>
      <c r="AB221" s="139">
        <f>IF(ISBLANK(Table1368[[#This Row],[Date revente]]),"",IF(ISBLANK(Table1368[[#This Row],[Date revente]]),TODAY(),Table1368[[#This Row],[Date revente]])-Table1368[[#This Row],[Date relisting]])</f>
        <v>0</v>
      </c>
      <c r="AC221" s="139">
        <f>IF(ISBLANK(Table1368[[#This Row],[Date revente]]),"",IF(ISBLANK(Table1368[[#This Row],[Date revente]]),TODAY(),Table1368[[#This Row],[Date revente]])-Table1368[[#This Row],[Date réception Achat]])</f>
        <v>2</v>
      </c>
      <c r="AD221" s="139">
        <f>IF(ISBLANK(Table1368[[#This Row],[Date revente]]),"",IF(ISBLANK(Table1368[[#This Row],[Date revente]]),TODAY(),Table1368[[#This Row],[Date revente]])-Table1368[[#This Row],[Date achat]])</f>
        <v>7</v>
      </c>
    </row>
    <row r="222" spans="1:30" x14ac:dyDescent="0.25">
      <c r="A222" s="134">
        <v>46153</v>
      </c>
      <c r="B222" s="146" t="s">
        <v>662</v>
      </c>
      <c r="C222" s="134" t="s">
        <v>663</v>
      </c>
      <c r="D222" s="156" t="s">
        <v>664</v>
      </c>
      <c r="E222" s="156"/>
      <c r="F222" s="156"/>
      <c r="G222" s="134" t="s">
        <v>177</v>
      </c>
      <c r="H222" s="127" t="s">
        <v>583</v>
      </c>
      <c r="I222" s="134" t="s">
        <v>165</v>
      </c>
      <c r="J222" s="134" t="s">
        <v>157</v>
      </c>
      <c r="K222" s="135">
        <v>49.5</v>
      </c>
      <c r="L222" s="135">
        <f>Table1368[[#This Row],[Prix total Achat]]-Table1368[[#This Row],[Prix article]]</f>
        <v>17.626554285714292</v>
      </c>
      <c r="M222" s="135">
        <v>67.12655428571429</v>
      </c>
      <c r="N222" s="134">
        <v>46160</v>
      </c>
      <c r="O222" s="136">
        <f>(Table1368[[#This Row],[Prix total Achat]]*2)</f>
        <v>134.25310857142858</v>
      </c>
      <c r="P222" s="136">
        <f>Table1368[[#This Row],[Prix Min voulu (x2 )]]*1.2</f>
        <v>161.1037302857143</v>
      </c>
      <c r="Q222" s="134">
        <v>46160</v>
      </c>
      <c r="R222" s="134">
        <v>46273</v>
      </c>
      <c r="S222" s="135">
        <v>160</v>
      </c>
      <c r="T222" s="134" t="s">
        <v>160</v>
      </c>
      <c r="U222" s="134" t="s">
        <v>157</v>
      </c>
      <c r="V222" s="137">
        <f>IF(ISBLANK(Table1368[[#This Row],[Date réception Achat]]),"",IF(ISBLANK(Table1368[[#This Row],[Date revente]]),TODAY(),Table1368[[#This Row],[Date revente]])-Table1368[[#This Row],[Date réception Achat]])</f>
        <v>113</v>
      </c>
      <c r="W22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22" s="135">
        <f>IF(Table1368[[#This Row],[Prix de revente]]="","",Table1368[[#This Row],[Prix de revente]]-Table1368[[#This Row],[Prix total Achat]])</f>
        <v>92.87344571428571</v>
      </c>
      <c r="Y222" s="138">
        <f>IF(Table1368[[#This Row],[Prix de revente]]="","",(Table1368[[#This Row],[Prix de revente]]/Table1368[[#This Row],[Prix total Achat]]))</f>
        <v>2.3835574714439174</v>
      </c>
      <c r="Z222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22" s="139">
        <f>IF(ISBLANK(Table1368[[#This Row],[Date relisting]]),"",IF(ISBLANK(Table1368[[#This Row],[Date relisting]]),TODAY(),Table1368[[#This Row],[Date relisting]])-Table1368[[#This Row],[Date réception Achat]])</f>
        <v>0</v>
      </c>
      <c r="AB222" s="139">
        <f>IF(ISBLANK(Table1368[[#This Row],[Date revente]]),"",IF(ISBLANK(Table1368[[#This Row],[Date revente]]),TODAY(),Table1368[[#This Row],[Date revente]])-Table1368[[#This Row],[Date relisting]])</f>
        <v>113</v>
      </c>
      <c r="AC222" s="139">
        <f>IF(ISBLANK(Table1368[[#This Row],[Date revente]]),"",IF(ISBLANK(Table1368[[#This Row],[Date revente]]),TODAY(),Table1368[[#This Row],[Date revente]])-Table1368[[#This Row],[Date réception Achat]])</f>
        <v>113</v>
      </c>
      <c r="AD222" s="139">
        <f>IF(ISBLANK(Table1368[[#This Row],[Date revente]]),"",IF(ISBLANK(Table1368[[#This Row],[Date revente]]),TODAY(),Table1368[[#This Row],[Date revente]])-Table1368[[#This Row],[Date achat]])</f>
        <v>120</v>
      </c>
    </row>
    <row r="223" spans="1:30" x14ac:dyDescent="0.25">
      <c r="A223" s="134">
        <v>46153</v>
      </c>
      <c r="B223" s="146" t="s">
        <v>665</v>
      </c>
      <c r="C223" s="134" t="s">
        <v>666</v>
      </c>
      <c r="D223" s="156" t="s">
        <v>664</v>
      </c>
      <c r="E223" s="156"/>
      <c r="F223" s="156"/>
      <c r="G223" s="134" t="s">
        <v>378</v>
      </c>
      <c r="H223" s="127" t="s">
        <v>557</v>
      </c>
      <c r="I223" s="134" t="s">
        <v>165</v>
      </c>
      <c r="J223" s="134" t="s">
        <v>157</v>
      </c>
      <c r="K223" s="135">
        <v>12.1</v>
      </c>
      <c r="L223" s="135">
        <f>Table1368[[#This Row],[Prix total Achat]]-Table1368[[#This Row],[Prix article]]</f>
        <v>17.626554285714285</v>
      </c>
      <c r="M223" s="135">
        <v>29.726554285714286</v>
      </c>
      <c r="N223" s="134">
        <v>46160</v>
      </c>
      <c r="O223" s="136">
        <f>(Table1368[[#This Row],[Prix total Achat]]*2)</f>
        <v>59.45310857142857</v>
      </c>
      <c r="P223" s="136">
        <f>Table1368[[#This Row],[Prix Min voulu (x2 )]]*1.2</f>
        <v>71.34373028571429</v>
      </c>
      <c r="Q223" s="134">
        <v>46161</v>
      </c>
      <c r="R223" s="134">
        <v>46173</v>
      </c>
      <c r="S223" s="135">
        <v>55</v>
      </c>
      <c r="T223" s="134" t="s">
        <v>160</v>
      </c>
      <c r="U223" s="134" t="s">
        <v>157</v>
      </c>
      <c r="V223" s="137">
        <f>IF(ISBLANK(Table1368[[#This Row],[Date réception Achat]]),"",IF(ISBLANK(Table1368[[#This Row],[Date revente]]),TODAY(),Table1368[[#This Row],[Date revente]])-Table1368[[#This Row],[Date réception Achat]])</f>
        <v>13</v>
      </c>
      <c r="W22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23" s="135">
        <f>IF(Table1368[[#This Row],[Prix de revente]]="","",Table1368[[#This Row],[Prix de revente]]-Table1368[[#This Row],[Prix total Achat]])</f>
        <v>25.273445714285714</v>
      </c>
      <c r="Y223" s="138">
        <f>IF(Table1368[[#This Row],[Prix de revente]]="","",(Table1368[[#This Row],[Prix de revente]]/Table1368[[#This Row],[Prix total Achat]]))</f>
        <v>1.8501976203286834</v>
      </c>
      <c r="Z223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23" s="139">
        <f>IF(ISBLANK(Table1368[[#This Row],[Date relisting]]),"",IF(ISBLANK(Table1368[[#This Row],[Date relisting]]),TODAY(),Table1368[[#This Row],[Date relisting]])-Table1368[[#This Row],[Date réception Achat]])</f>
        <v>1</v>
      </c>
      <c r="AB223" s="139">
        <f>IF(ISBLANK(Table1368[[#This Row],[Date revente]]),"",IF(ISBLANK(Table1368[[#This Row],[Date revente]]),TODAY(),Table1368[[#This Row],[Date revente]])-Table1368[[#This Row],[Date relisting]])</f>
        <v>12</v>
      </c>
      <c r="AC223" s="139">
        <f>IF(ISBLANK(Table1368[[#This Row],[Date revente]]),"",IF(ISBLANK(Table1368[[#This Row],[Date revente]]),TODAY(),Table1368[[#This Row],[Date revente]])-Table1368[[#This Row],[Date réception Achat]])</f>
        <v>13</v>
      </c>
      <c r="AD223" s="139">
        <f>IF(ISBLANK(Table1368[[#This Row],[Date revente]]),"",IF(ISBLANK(Table1368[[#This Row],[Date revente]]),TODAY(),Table1368[[#This Row],[Date revente]])-Table1368[[#This Row],[Date achat]])</f>
        <v>20</v>
      </c>
    </row>
    <row r="224" spans="1:30" x14ac:dyDescent="0.25">
      <c r="A224" s="134">
        <v>46153</v>
      </c>
      <c r="B224" s="146" t="s">
        <v>667</v>
      </c>
      <c r="C224" s="134" t="s">
        <v>668</v>
      </c>
      <c r="D224" s="156" t="s">
        <v>664</v>
      </c>
      <c r="E224" s="156"/>
      <c r="F224" s="156"/>
      <c r="G224" s="134" t="s">
        <v>163</v>
      </c>
      <c r="H224" s="127" t="s">
        <v>174</v>
      </c>
      <c r="I224" s="134" t="s">
        <v>165</v>
      </c>
      <c r="J224" s="134" t="s">
        <v>157</v>
      </c>
      <c r="K224" s="135">
        <v>16.5</v>
      </c>
      <c r="L224" s="135">
        <f>Table1368[[#This Row],[Prix total Achat]]-Table1368[[#This Row],[Prix article]]</f>
        <v>17.626554285714285</v>
      </c>
      <c r="M224" s="135">
        <v>34.126554285714285</v>
      </c>
      <c r="N224" s="134">
        <v>46160</v>
      </c>
      <c r="O224" s="136">
        <f>(Table1368[[#This Row],[Prix total Achat]]*2)</f>
        <v>68.25310857142857</v>
      </c>
      <c r="P224" s="136">
        <f>Table1368[[#This Row],[Prix Min voulu (x2 )]]*1.2</f>
        <v>81.90373028571427</v>
      </c>
      <c r="Q224" s="134">
        <v>46161</v>
      </c>
      <c r="R224" s="134"/>
      <c r="S224" s="135"/>
      <c r="T224" s="134"/>
      <c r="U224" s="134" t="s">
        <v>157</v>
      </c>
      <c r="V224" s="137">
        <f>IF(ISBLANK(Table1368[[#This Row],[Date réception Achat]]),"",IF(ISBLANK(Table1368[[#This Row],[Date revente]]),TODAY(),Table1368[[#This Row],[Date revente]])-Table1368[[#This Row],[Date réception Achat]])</f>
        <v>143</v>
      </c>
      <c r="W22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24" s="135">
        <f>IF(Table1368[[#This Row],[Prix de revente]]="","",Table1368[[#This Row],[Prix de revente]]-Table1368[[#This Row],[Prix total Achat]])</f>
      </c>
      <c r="Y224" s="138">
        <f>IF(Table1368[[#This Row],[Prix de revente]]="","",(Table1368[[#This Row],[Prix de revente]]/Table1368[[#This Row],[Prix total Achat]]))</f>
      </c>
      <c r="Z224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24" s="139">
        <f>IF(ISBLANK(Table1368[[#This Row],[Date relisting]]),"",IF(ISBLANK(Table1368[[#This Row],[Date relisting]]),TODAY(),Table1368[[#This Row],[Date relisting]])-Table1368[[#This Row],[Date réception Achat]])</f>
        <v>1</v>
      </c>
      <c r="AB224" s="139">
        <f>IF(ISBLANK(Table1368[[#This Row],[Date revente]]),"",IF(ISBLANK(Table1368[[#This Row],[Date revente]]),TODAY(),Table1368[[#This Row],[Date revente]])-Table1368[[#This Row],[Date relisting]])</f>
      </c>
      <c r="AC224" s="139">
        <f>IF(ISBLANK(Table1368[[#This Row],[Date revente]]),"",IF(ISBLANK(Table1368[[#This Row],[Date revente]]),TODAY(),Table1368[[#This Row],[Date revente]])-Table1368[[#This Row],[Date réception Achat]])</f>
      </c>
      <c r="AD224" s="139">
        <f>IF(ISBLANK(Table1368[[#This Row],[Date revente]]),"",IF(ISBLANK(Table1368[[#This Row],[Date revente]]),TODAY(),Table1368[[#This Row],[Date revente]])-Table1368[[#This Row],[Date achat]])</f>
      </c>
    </row>
    <row r="225" spans="1:30" x14ac:dyDescent="0.25">
      <c r="A225" s="134">
        <v>46153</v>
      </c>
      <c r="B225" s="146" t="s">
        <v>669</v>
      </c>
      <c r="C225" s="134" t="s">
        <v>670</v>
      </c>
      <c r="D225" s="156" t="s">
        <v>664</v>
      </c>
      <c r="E225" s="156"/>
      <c r="F225" s="156"/>
      <c r="G225" s="134" t="s">
        <v>163</v>
      </c>
      <c r="H225" s="127" t="s">
        <v>178</v>
      </c>
      <c r="I225" s="134" t="s">
        <v>165</v>
      </c>
      <c r="J225" s="134" t="s">
        <v>157</v>
      </c>
      <c r="K225" s="135">
        <v>30.139999999999997</v>
      </c>
      <c r="L225" s="135">
        <f>Table1368[[#This Row],[Prix total Achat]]-Table1368[[#This Row],[Prix article]]</f>
        <v>17.62655428571428</v>
      </c>
      <c r="M225" s="135">
        <v>47.76655428571428</v>
      </c>
      <c r="N225" s="134">
        <v>46160</v>
      </c>
      <c r="O225" s="136">
        <f>(Table1368[[#This Row],[Prix total Achat]]*2)</f>
        <v>95.53310857142856</v>
      </c>
      <c r="P225" s="136">
        <f>Table1368[[#This Row],[Prix Min voulu (x2 )]]*1.2</f>
        <v>114.63973028571426</v>
      </c>
      <c r="Q225" s="134">
        <v>46161</v>
      </c>
      <c r="R225" s="134"/>
      <c r="S225" s="135"/>
      <c r="T225" s="134"/>
      <c r="U225" s="134" t="s">
        <v>157</v>
      </c>
      <c r="V225" s="137">
        <f>IF(ISBLANK(Table1368[[#This Row],[Date réception Achat]]),"",IF(ISBLANK(Table1368[[#This Row],[Date revente]]),TODAY(),Table1368[[#This Row],[Date revente]])-Table1368[[#This Row],[Date réception Achat]])</f>
        <v>143</v>
      </c>
      <c r="W22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25" s="135">
        <f>IF(Table1368[[#This Row],[Prix de revente]]="","",Table1368[[#This Row],[Prix de revente]]-Table1368[[#This Row],[Prix total Achat]])</f>
      </c>
      <c r="Y225" s="138">
        <f>IF(Table1368[[#This Row],[Prix de revente]]="","",(Table1368[[#This Row],[Prix de revente]]/Table1368[[#This Row],[Prix total Achat]]))</f>
      </c>
      <c r="Z225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25" s="139">
        <f>IF(ISBLANK(Table1368[[#This Row],[Date relisting]]),"",IF(ISBLANK(Table1368[[#This Row],[Date relisting]]),TODAY(),Table1368[[#This Row],[Date relisting]])-Table1368[[#This Row],[Date réception Achat]])</f>
        <v>1</v>
      </c>
      <c r="AB225" s="139">
        <f>IF(ISBLANK(Table1368[[#This Row],[Date revente]]),"",IF(ISBLANK(Table1368[[#This Row],[Date revente]]),TODAY(),Table1368[[#This Row],[Date revente]])-Table1368[[#This Row],[Date relisting]])</f>
      </c>
      <c r="AC225" s="139">
        <f>IF(ISBLANK(Table1368[[#This Row],[Date revente]]),"",IF(ISBLANK(Table1368[[#This Row],[Date revente]]),TODAY(),Table1368[[#This Row],[Date revente]])-Table1368[[#This Row],[Date réception Achat]])</f>
      </c>
      <c r="AD225" s="139">
        <f>IF(ISBLANK(Table1368[[#This Row],[Date revente]]),"",IF(ISBLANK(Table1368[[#This Row],[Date revente]]),TODAY(),Table1368[[#This Row],[Date revente]])-Table1368[[#This Row],[Date achat]])</f>
      </c>
    </row>
    <row r="226" spans="1:30" x14ac:dyDescent="0.25">
      <c r="A226" s="134">
        <v>46153</v>
      </c>
      <c r="B226" s="146" t="s">
        <v>671</v>
      </c>
      <c r="C226" s="134" t="s">
        <v>672</v>
      </c>
      <c r="D226" s="156" t="s">
        <v>664</v>
      </c>
      <c r="E226" s="156"/>
      <c r="F226" s="156"/>
      <c r="G226" s="134" t="s">
        <v>593</v>
      </c>
      <c r="H226" s="127" t="s">
        <v>178</v>
      </c>
      <c r="I226" s="134" t="s">
        <v>165</v>
      </c>
      <c r="J226" s="134" t="s">
        <v>157</v>
      </c>
      <c r="K226" s="135">
        <v>8.25</v>
      </c>
      <c r="L226" s="135">
        <f>Table1368[[#This Row],[Prix total Achat]]-Table1368[[#This Row],[Prix article]]</f>
        <v>17.626554285714285</v>
      </c>
      <c r="M226" s="135">
        <v>25.876554285714285</v>
      </c>
      <c r="N226" s="134">
        <v>46160</v>
      </c>
      <c r="O226" s="136">
        <f>(Table1368[[#This Row],[Prix total Achat]]*2)</f>
        <v>51.75310857142857</v>
      </c>
      <c r="P226" s="136">
        <f>Table1368[[#This Row],[Prix Min voulu (x2 )]]*1.2</f>
        <v>62.10373028571428</v>
      </c>
      <c r="Q226" s="134">
        <v>46160</v>
      </c>
      <c r="R226" s="134"/>
      <c r="S226" s="135"/>
      <c r="T226" s="134"/>
      <c r="U226" s="134" t="s">
        <v>157</v>
      </c>
      <c r="V226" s="137">
        <f>IF(ISBLANK(Table1368[[#This Row],[Date réception Achat]]),"",IF(ISBLANK(Table1368[[#This Row],[Date revente]]),TODAY(),Table1368[[#This Row],[Date revente]])-Table1368[[#This Row],[Date réception Achat]])</f>
        <v>143</v>
      </c>
      <c r="W22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26" s="135">
        <f>IF(Table1368[[#This Row],[Prix de revente]]="","",Table1368[[#This Row],[Prix de revente]]-Table1368[[#This Row],[Prix total Achat]])</f>
      </c>
      <c r="Y226" s="138">
        <f>IF(Table1368[[#This Row],[Prix de revente]]="","",(Table1368[[#This Row],[Prix de revente]]/Table1368[[#This Row],[Prix total Achat]]))</f>
      </c>
      <c r="Z226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26" s="139">
        <f>IF(ISBLANK(Table1368[[#This Row],[Date relisting]]),"",IF(ISBLANK(Table1368[[#This Row],[Date relisting]]),TODAY(),Table1368[[#This Row],[Date relisting]])-Table1368[[#This Row],[Date réception Achat]])</f>
        <v>0</v>
      </c>
      <c r="AB226" s="139">
        <f>IF(ISBLANK(Table1368[[#This Row],[Date revente]]),"",IF(ISBLANK(Table1368[[#This Row],[Date revente]]),TODAY(),Table1368[[#This Row],[Date revente]])-Table1368[[#This Row],[Date relisting]])</f>
      </c>
      <c r="AC226" s="139">
        <f>IF(ISBLANK(Table1368[[#This Row],[Date revente]]),"",IF(ISBLANK(Table1368[[#This Row],[Date revente]]),TODAY(),Table1368[[#This Row],[Date revente]])-Table1368[[#This Row],[Date réception Achat]])</f>
      </c>
      <c r="AD226" s="139">
        <f>IF(ISBLANK(Table1368[[#This Row],[Date revente]]),"",IF(ISBLANK(Table1368[[#This Row],[Date revente]]),TODAY(),Table1368[[#This Row],[Date revente]])-Table1368[[#This Row],[Date achat]])</f>
      </c>
    </row>
    <row r="227" spans="1:30" x14ac:dyDescent="0.25">
      <c r="A227" s="134">
        <v>46153</v>
      </c>
      <c r="B227" s="146" t="s">
        <v>673</v>
      </c>
      <c r="C227" s="134" t="s">
        <v>674</v>
      </c>
      <c r="D227" s="156" t="s">
        <v>664</v>
      </c>
      <c r="E227" s="156"/>
      <c r="F227" s="156"/>
      <c r="G227" s="134" t="s">
        <v>392</v>
      </c>
      <c r="H227" s="127" t="s">
        <v>178</v>
      </c>
      <c r="I227" s="134" t="s">
        <v>165</v>
      </c>
      <c r="J227" s="134" t="s">
        <v>157</v>
      </c>
      <c r="K227" s="135">
        <v>16.5</v>
      </c>
      <c r="L227" s="135">
        <f>Table1368[[#This Row],[Prix total Achat]]-Table1368[[#This Row],[Prix article]]</f>
        <v>17.626554285714285</v>
      </c>
      <c r="M227" s="135">
        <v>34.126554285714285</v>
      </c>
      <c r="N227" s="134">
        <v>46160</v>
      </c>
      <c r="O227" s="136">
        <f>(Table1368[[#This Row],[Prix total Achat]]*2)</f>
        <v>68.25310857142857</v>
      </c>
      <c r="P227" s="136">
        <f>Table1368[[#This Row],[Prix Min voulu (x2 )]]*1.2</f>
        <v>81.90373028571427</v>
      </c>
      <c r="Q227" s="134">
        <v>46160</v>
      </c>
      <c r="R227" s="134">
        <v>46178</v>
      </c>
      <c r="S227" s="135">
        <v>70</v>
      </c>
      <c r="T227" s="134" t="s">
        <v>160</v>
      </c>
      <c r="U227" s="134" t="s">
        <v>157</v>
      </c>
      <c r="V227" s="137">
        <f>IF(ISBLANK(Table1368[[#This Row],[Date réception Achat]]),"",IF(ISBLANK(Table1368[[#This Row],[Date revente]]),TODAY(),Table1368[[#This Row],[Date revente]])-Table1368[[#This Row],[Date réception Achat]])</f>
        <v>18</v>
      </c>
      <c r="W22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27" s="135">
        <f>IF(Table1368[[#This Row],[Prix de revente]]="","",Table1368[[#This Row],[Prix de revente]]-Table1368[[#This Row],[Prix total Achat]])</f>
        <v>35.873445714285715</v>
      </c>
      <c r="Y227" s="138">
        <f>IF(Table1368[[#This Row],[Prix de revente]]="","",(Table1368[[#This Row],[Prix de revente]]/Table1368[[#This Row],[Prix total Achat]]))</f>
        <v>2.0511886261339516</v>
      </c>
      <c r="Z227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27" s="139">
        <f>IF(ISBLANK(Table1368[[#This Row],[Date relisting]]),"",IF(ISBLANK(Table1368[[#This Row],[Date relisting]]),TODAY(),Table1368[[#This Row],[Date relisting]])-Table1368[[#This Row],[Date réception Achat]])</f>
        <v>0</v>
      </c>
      <c r="AB227" s="139">
        <f>IF(ISBLANK(Table1368[[#This Row],[Date revente]]),"",IF(ISBLANK(Table1368[[#This Row],[Date revente]]),TODAY(),Table1368[[#This Row],[Date revente]])-Table1368[[#This Row],[Date relisting]])</f>
        <v>18</v>
      </c>
      <c r="AC227" s="139">
        <f>IF(ISBLANK(Table1368[[#This Row],[Date revente]]),"",IF(ISBLANK(Table1368[[#This Row],[Date revente]]),TODAY(),Table1368[[#This Row],[Date revente]])-Table1368[[#This Row],[Date réception Achat]])</f>
        <v>18</v>
      </c>
      <c r="AD227" s="139">
        <f>IF(ISBLANK(Table1368[[#This Row],[Date revente]]),"",IF(ISBLANK(Table1368[[#This Row],[Date revente]]),TODAY(),Table1368[[#This Row],[Date revente]])-Table1368[[#This Row],[Date achat]])</f>
        <v>25</v>
      </c>
    </row>
    <row r="228" spans="1:30" x14ac:dyDescent="0.25">
      <c r="A228" s="134">
        <v>46153</v>
      </c>
      <c r="B228" s="146" t="s">
        <v>675</v>
      </c>
      <c r="C228" s="134" t="s">
        <v>676</v>
      </c>
      <c r="D228" s="156" t="s">
        <v>664</v>
      </c>
      <c r="E228" s="156"/>
      <c r="F228" s="156"/>
      <c r="G228" s="134" t="s">
        <v>163</v>
      </c>
      <c r="H228" s="127" t="s">
        <v>174</v>
      </c>
      <c r="I228" s="134" t="s">
        <v>165</v>
      </c>
      <c r="J228" s="134" t="s">
        <v>157</v>
      </c>
      <c r="K228" s="135">
        <v>15.399999999999999</v>
      </c>
      <c r="L228" s="135">
        <f>Table1368[[#This Row],[Prix total Achat]]-Table1368[[#This Row],[Prix article]]</f>
        <v>17.626554285714285</v>
      </c>
      <c r="M228" s="135">
        <v>33.02655428571428</v>
      </c>
      <c r="N228" s="134">
        <v>46160</v>
      </c>
      <c r="O228" s="136">
        <f>(Table1368[[#This Row],[Prix total Achat]]*2)</f>
        <v>66.05310857142857</v>
      </c>
      <c r="P228" s="136">
        <f>Table1368[[#This Row],[Prix Min voulu (x2 )]]*1.2</f>
        <v>79.26373028571427</v>
      </c>
      <c r="Q228" s="134">
        <v>46161</v>
      </c>
      <c r="R228" s="134">
        <v>46162</v>
      </c>
      <c r="S228" s="135">
        <v>99</v>
      </c>
      <c r="T228" s="134" t="s">
        <v>160</v>
      </c>
      <c r="U228" s="134" t="s">
        <v>157</v>
      </c>
      <c r="V228" s="137">
        <f>IF(ISBLANK(Table1368[[#This Row],[Date réception Achat]]),"",IF(ISBLANK(Table1368[[#This Row],[Date revente]]),TODAY(),Table1368[[#This Row],[Date revente]])-Table1368[[#This Row],[Date réception Achat]])</f>
        <v>2</v>
      </c>
      <c r="W22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28" s="135">
        <f>IF(Table1368[[#This Row],[Prix de revente]]="","",Table1368[[#This Row],[Prix de revente]]-Table1368[[#This Row],[Prix total Achat]])</f>
        <v>65.97344571428572</v>
      </c>
      <c r="Y228" s="138">
        <f>IF(Table1368[[#This Row],[Prix de revente]]="","",(Table1368[[#This Row],[Prix de revente]]/Table1368[[#This Row],[Prix total Achat]]))</f>
        <v>2.997587914971278</v>
      </c>
      <c r="Z228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28" s="139">
        <f>IF(ISBLANK(Table1368[[#This Row],[Date relisting]]),"",IF(ISBLANK(Table1368[[#This Row],[Date relisting]]),TODAY(),Table1368[[#This Row],[Date relisting]])-Table1368[[#This Row],[Date réception Achat]])</f>
        <v>1</v>
      </c>
      <c r="AB228" s="139">
        <f>IF(ISBLANK(Table1368[[#This Row],[Date revente]]),"",IF(ISBLANK(Table1368[[#This Row],[Date revente]]),TODAY(),Table1368[[#This Row],[Date revente]])-Table1368[[#This Row],[Date relisting]])</f>
        <v>1</v>
      </c>
      <c r="AC228" s="139">
        <f>IF(ISBLANK(Table1368[[#This Row],[Date revente]]),"",IF(ISBLANK(Table1368[[#This Row],[Date revente]]),TODAY(),Table1368[[#This Row],[Date revente]])-Table1368[[#This Row],[Date réception Achat]])</f>
        <v>2</v>
      </c>
      <c r="AD228" s="139">
        <f>IF(ISBLANK(Table1368[[#This Row],[Date revente]]),"",IF(ISBLANK(Table1368[[#This Row],[Date revente]]),TODAY(),Table1368[[#This Row],[Date revente]])-Table1368[[#This Row],[Date achat]])</f>
        <v>9</v>
      </c>
    </row>
    <row r="229" spans="1:30" x14ac:dyDescent="0.25">
      <c r="A229" s="134">
        <v>46153</v>
      </c>
      <c r="B229" s="141" t="s">
        <v>677</v>
      </c>
      <c r="C229" s="134" t="s">
        <v>678</v>
      </c>
      <c r="D229" s="156" t="s">
        <v>679</v>
      </c>
      <c r="E229" s="156"/>
      <c r="F229" s="156"/>
      <c r="G229" s="134" t="s">
        <v>173</v>
      </c>
      <c r="H229" s="127" t="s">
        <v>174</v>
      </c>
      <c r="I229" s="134" t="s">
        <v>165</v>
      </c>
      <c r="J229" s="134" t="s">
        <v>157</v>
      </c>
      <c r="K229" s="135">
        <v>41.745</v>
      </c>
      <c r="L229" s="135">
        <f>Table1368[[#This Row],[Prix total Achat]]-Table1368[[#This Row],[Prix article]]</f>
        <v>21.301168499999996</v>
      </c>
      <c r="M229" s="135">
        <v>63.04616849999999</v>
      </c>
      <c r="N229" s="134">
        <v>46233</v>
      </c>
      <c r="O229" s="136">
        <f>(Table1368[[#This Row],[Prix total Achat]]*2)</f>
        <v>126.09233699999999</v>
      </c>
      <c r="P229" s="136">
        <f>Table1368[[#This Row],[Prix Min voulu (x2 )]]*1.2</f>
        <v>151.31080439999997</v>
      </c>
      <c r="Q229" s="134">
        <v>46278</v>
      </c>
      <c r="R229" s="134">
        <v>46291</v>
      </c>
      <c r="S229" s="135">
        <v>125</v>
      </c>
      <c r="T229" s="134" t="s">
        <v>160</v>
      </c>
      <c r="U229" s="134" t="s">
        <v>157</v>
      </c>
      <c r="V229" s="137">
        <f>IF(ISBLANK(Table1368[[#This Row],[Date réception Achat]]),"",IF(ISBLANK(Table1368[[#This Row],[Date revente]]),TODAY(),Table1368[[#This Row],[Date revente]])-Table1368[[#This Row],[Date réception Achat]])</f>
        <v>58</v>
      </c>
      <c r="W22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29" s="135">
        <f>IF(Table1368[[#This Row],[Prix de revente]]="","",Table1368[[#This Row],[Prix de revente]]-Table1368[[#This Row],[Prix total Achat]])</f>
        <v>61.95383150000001</v>
      </c>
      <c r="Y229" s="138">
        <f>IF(Table1368[[#This Row],[Prix de revente]]="","",(Table1368[[#This Row],[Prix de revente]]/Table1368[[#This Row],[Prix total Achat]]))</f>
        <v>1.9826740145200104</v>
      </c>
      <c r="Z229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229" s="139">
        <f>IF(ISBLANK(Table1368[[#This Row],[Date relisting]]),"",IF(ISBLANK(Table1368[[#This Row],[Date relisting]]),TODAY(),Table1368[[#This Row],[Date relisting]])-Table1368[[#This Row],[Date réception Achat]])</f>
        <v>45</v>
      </c>
      <c r="AB229" s="139">
        <f>IF(ISBLANK(Table1368[[#This Row],[Date revente]]),"",IF(ISBLANK(Table1368[[#This Row],[Date revente]]),TODAY(),Table1368[[#This Row],[Date revente]])-Table1368[[#This Row],[Date relisting]])</f>
        <v>13</v>
      </c>
      <c r="AC229" s="139">
        <f>IF(ISBLANK(Table1368[[#This Row],[Date revente]]),"",IF(ISBLANK(Table1368[[#This Row],[Date revente]]),TODAY(),Table1368[[#This Row],[Date revente]])-Table1368[[#This Row],[Date réception Achat]])</f>
        <v>58</v>
      </c>
      <c r="AD229" s="139">
        <f>IF(ISBLANK(Table1368[[#This Row],[Date revente]]),"",IF(ISBLANK(Table1368[[#This Row],[Date revente]]),TODAY(),Table1368[[#This Row],[Date revente]])-Table1368[[#This Row],[Date achat]])</f>
        <v>138</v>
      </c>
    </row>
    <row r="230" spans="1:30" x14ac:dyDescent="0.25">
      <c r="A230" s="134">
        <v>46153</v>
      </c>
      <c r="B230" s="141" t="s">
        <v>680</v>
      </c>
      <c r="C230" s="134" t="s">
        <v>681</v>
      </c>
      <c r="D230" s="156" t="s">
        <v>679</v>
      </c>
      <c r="E230" s="156"/>
      <c r="F230" s="156"/>
      <c r="G230" s="134" t="s">
        <v>682</v>
      </c>
      <c r="H230" s="127" t="s">
        <v>174</v>
      </c>
      <c r="I230" s="134" t="s">
        <v>165</v>
      </c>
      <c r="J230" s="134" t="s">
        <v>157</v>
      </c>
      <c r="K230" s="135">
        <v>22</v>
      </c>
      <c r="L230" s="135">
        <f>Table1368[[#This Row],[Prix total Achat]]-Table1368[[#This Row],[Prix article]]</f>
        <v>21.301168500000003</v>
      </c>
      <c r="M230" s="135">
        <v>43.3011685</v>
      </c>
      <c r="N230" s="134">
        <v>46233</v>
      </c>
      <c r="O230" s="136">
        <f>(Table1368[[#This Row],[Prix total Achat]]*2)</f>
        <v>86.602337</v>
      </c>
      <c r="P230" s="136">
        <f>Table1368[[#This Row],[Prix Min voulu (x2 )]]*1.2</f>
        <v>103.9228044</v>
      </c>
      <c r="Q230" s="134">
        <v>46277</v>
      </c>
      <c r="R230" s="134"/>
      <c r="S230" s="135"/>
      <c r="T230" s="134"/>
      <c r="U230" s="134" t="s">
        <v>157</v>
      </c>
      <c r="V230" s="137">
        <f>IF(ISBLANK(Table1368[[#This Row],[Date réception Achat]]),"",IF(ISBLANK(Table1368[[#This Row],[Date revente]]),TODAY(),Table1368[[#This Row],[Date revente]])-Table1368[[#This Row],[Date réception Achat]])</f>
        <v>70</v>
      </c>
      <c r="W23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30" s="135">
        <f>IF(Table1368[[#This Row],[Prix de revente]]="","",Table1368[[#This Row],[Prix de revente]]-Table1368[[#This Row],[Prix total Achat]])</f>
      </c>
      <c r="Y230" s="138">
        <f>IF(Table1368[[#This Row],[Prix de revente]]="","",(Table1368[[#This Row],[Prix de revente]]/Table1368[[#This Row],[Prix total Achat]]))</f>
      </c>
      <c r="Z230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230" s="139">
        <f>IF(ISBLANK(Table1368[[#This Row],[Date relisting]]),"",IF(ISBLANK(Table1368[[#This Row],[Date relisting]]),TODAY(),Table1368[[#This Row],[Date relisting]])-Table1368[[#This Row],[Date réception Achat]])</f>
        <v>44</v>
      </c>
      <c r="AB230" s="139">
        <f>IF(ISBLANK(Table1368[[#This Row],[Date revente]]),"",IF(ISBLANK(Table1368[[#This Row],[Date revente]]),TODAY(),Table1368[[#This Row],[Date revente]])-Table1368[[#This Row],[Date relisting]])</f>
      </c>
      <c r="AC230" s="139">
        <f>IF(ISBLANK(Table1368[[#This Row],[Date revente]]),"",IF(ISBLANK(Table1368[[#This Row],[Date revente]]),TODAY(),Table1368[[#This Row],[Date revente]])-Table1368[[#This Row],[Date réception Achat]])</f>
      </c>
      <c r="AD230" s="139">
        <f>IF(ISBLANK(Table1368[[#This Row],[Date revente]]),"",IF(ISBLANK(Table1368[[#This Row],[Date revente]]),TODAY(),Table1368[[#This Row],[Date revente]])-Table1368[[#This Row],[Date achat]])</f>
      </c>
    </row>
    <row r="231" spans="1:30" x14ac:dyDescent="0.25">
      <c r="A231" s="134">
        <v>46153</v>
      </c>
      <c r="B231" s="141" t="s">
        <v>683</v>
      </c>
      <c r="C231" s="134" t="s">
        <v>684</v>
      </c>
      <c r="D231" s="156" t="s">
        <v>679</v>
      </c>
      <c r="E231" s="156"/>
      <c r="F231" s="156"/>
      <c r="G231" s="134" t="s">
        <v>685</v>
      </c>
      <c r="H231" s="127" t="s">
        <v>330</v>
      </c>
      <c r="I231" s="134" t="s">
        <v>165</v>
      </c>
      <c r="J231" s="134" t="s">
        <v>157</v>
      </c>
      <c r="K231" s="135">
        <v>32.994499999999995</v>
      </c>
      <c r="L231" s="135">
        <f>Table1368[[#This Row],[Prix total Achat]]-Table1368[[#This Row],[Prix article]]</f>
        <v>21.301168499999996</v>
      </c>
      <c r="M231" s="135">
        <v>54.29566849999999</v>
      </c>
      <c r="N231" s="134">
        <v>46233</v>
      </c>
      <c r="O231" s="136">
        <f>(Table1368[[#This Row],[Prix total Achat]]*2)</f>
        <v>108.59133699999998</v>
      </c>
      <c r="P231" s="136">
        <f>Table1368[[#This Row],[Prix Min voulu (x2 )]]*1.2</f>
        <v>130.30960439999998</v>
      </c>
      <c r="Q231" s="134">
        <v>46277</v>
      </c>
      <c r="R231" s="134"/>
      <c r="S231" s="135"/>
      <c r="T231" s="134"/>
      <c r="U231" s="134" t="s">
        <v>157</v>
      </c>
      <c r="V231" s="137">
        <f>IF(ISBLANK(Table1368[[#This Row],[Date réception Achat]]),"",IF(ISBLANK(Table1368[[#This Row],[Date revente]]),TODAY(),Table1368[[#This Row],[Date revente]])-Table1368[[#This Row],[Date réception Achat]])</f>
        <v>70</v>
      </c>
      <c r="W23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31" s="135">
        <f>IF(Table1368[[#This Row],[Prix de revente]]="","",Table1368[[#This Row],[Prix de revente]]-Table1368[[#This Row],[Prix total Achat]])</f>
      </c>
      <c r="Y231" s="138">
        <f>IF(Table1368[[#This Row],[Prix de revente]]="","",(Table1368[[#This Row],[Prix de revente]]/Table1368[[#This Row],[Prix total Achat]]))</f>
      </c>
      <c r="Z231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231" s="139">
        <f>IF(ISBLANK(Table1368[[#This Row],[Date relisting]]),"",IF(ISBLANK(Table1368[[#This Row],[Date relisting]]),TODAY(),Table1368[[#This Row],[Date relisting]])-Table1368[[#This Row],[Date réception Achat]])</f>
        <v>44</v>
      </c>
      <c r="AB231" s="139">
        <f>IF(ISBLANK(Table1368[[#This Row],[Date revente]]),"",IF(ISBLANK(Table1368[[#This Row],[Date revente]]),TODAY(),Table1368[[#This Row],[Date revente]])-Table1368[[#This Row],[Date relisting]])</f>
      </c>
      <c r="AC231" s="139">
        <f>IF(ISBLANK(Table1368[[#This Row],[Date revente]]),"",IF(ISBLANK(Table1368[[#This Row],[Date revente]]),TODAY(),Table1368[[#This Row],[Date revente]])-Table1368[[#This Row],[Date réception Achat]])</f>
      </c>
      <c r="AD231" s="139">
        <f>IF(ISBLANK(Table1368[[#This Row],[Date revente]]),"",IF(ISBLANK(Table1368[[#This Row],[Date revente]]),TODAY(),Table1368[[#This Row],[Date revente]])-Table1368[[#This Row],[Date achat]])</f>
      </c>
    </row>
    <row r="232" spans="1:30" x14ac:dyDescent="0.25">
      <c r="A232" s="134">
        <v>46154</v>
      </c>
      <c r="B232" s="141" t="s">
        <v>644</v>
      </c>
      <c r="C232" s="134" t="s">
        <v>686</v>
      </c>
      <c r="D232" s="156" t="s">
        <v>157</v>
      </c>
      <c r="E232" s="156"/>
      <c r="F232" s="156"/>
      <c r="G232" s="134" t="s">
        <v>228</v>
      </c>
      <c r="H232" s="127" t="s">
        <v>287</v>
      </c>
      <c r="I232" s="134" t="s">
        <v>160</v>
      </c>
      <c r="J232" s="134" t="s">
        <v>157</v>
      </c>
      <c r="K232" s="135">
        <v>12</v>
      </c>
      <c r="L232" s="135">
        <f>Table1368[[#This Row],[Prix total Achat]]-Table1368[[#This Row],[Prix article]]</f>
        <v>4.579999999999998</v>
      </c>
      <c r="M232" s="135">
        <v>16.58</v>
      </c>
      <c r="N232" s="134">
        <v>46164</v>
      </c>
      <c r="O232" s="136">
        <f>(Table1368[[#This Row],[Prix total Achat]]*2)</f>
        <v>33.16</v>
      </c>
      <c r="P232" s="136">
        <f>Table1368[[#This Row],[Prix Min voulu (x2 )]]*1.2</f>
        <v>39.791999999999994</v>
      </c>
      <c r="Q232" s="134">
        <v>46164</v>
      </c>
      <c r="R232" s="134"/>
      <c r="S232" s="135"/>
      <c r="T232" s="134"/>
      <c r="U232" s="134" t="s">
        <v>157</v>
      </c>
      <c r="V232" s="137">
        <f>IF(ISBLANK(Table1368[[#This Row],[Date réception Achat]]),"",IF(ISBLANK(Table1368[[#This Row],[Date revente]]),TODAY(),Table1368[[#This Row],[Date revente]])-Table1368[[#This Row],[Date réception Achat]])</f>
        <v>139</v>
      </c>
      <c r="W23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32" s="135">
        <f>IF(Table1368[[#This Row],[Prix de revente]]="","",Table1368[[#This Row],[Prix de revente]]-Table1368[[#This Row],[Prix total Achat]])</f>
      </c>
      <c r="Y232" s="138">
        <f>IF(Table1368[[#This Row],[Prix de revente]]="","",(Table1368[[#This Row],[Prix de revente]]/Table1368[[#This Row],[Prix total Achat]]))</f>
      </c>
      <c r="Z232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232" s="139">
        <f>IF(ISBLANK(Table1368[[#This Row],[Date relisting]]),"",IF(ISBLANK(Table1368[[#This Row],[Date relisting]]),TODAY(),Table1368[[#This Row],[Date relisting]])-Table1368[[#This Row],[Date réception Achat]])</f>
        <v>0</v>
      </c>
      <c r="AB232" s="139">
        <f>IF(ISBLANK(Table1368[[#This Row],[Date revente]]),"",IF(ISBLANK(Table1368[[#This Row],[Date revente]]),TODAY(),Table1368[[#This Row],[Date revente]])-Table1368[[#This Row],[Date relisting]])</f>
      </c>
      <c r="AC232" s="139">
        <f>IF(ISBLANK(Table1368[[#This Row],[Date revente]]),"",IF(ISBLANK(Table1368[[#This Row],[Date revente]]),TODAY(),Table1368[[#This Row],[Date revente]])-Table1368[[#This Row],[Date réception Achat]])</f>
      </c>
      <c r="AD232" s="139">
        <f>IF(ISBLANK(Table1368[[#This Row],[Date revente]]),"",IF(ISBLANK(Table1368[[#This Row],[Date revente]]),TODAY(),Table1368[[#This Row],[Date revente]])-Table1368[[#This Row],[Date achat]])</f>
      </c>
    </row>
    <row r="233" spans="1:30" x14ac:dyDescent="0.25">
      <c r="A233" s="134">
        <v>46155</v>
      </c>
      <c r="B233" s="141" t="s">
        <v>644</v>
      </c>
      <c r="C233" s="134" t="s">
        <v>687</v>
      </c>
      <c r="D233" s="156" t="s">
        <v>157</v>
      </c>
      <c r="E233" s="156"/>
      <c r="F233" s="156"/>
      <c r="G233" s="134" t="s">
        <v>228</v>
      </c>
      <c r="H233" s="127" t="s">
        <v>287</v>
      </c>
      <c r="I233" s="134" t="s">
        <v>160</v>
      </c>
      <c r="J233" s="134" t="s">
        <v>157</v>
      </c>
      <c r="K233" s="135">
        <v>10</v>
      </c>
      <c r="L233" s="135">
        <f>Table1368[[#This Row],[Prix total Achat]]-Table1368[[#This Row],[Prix article]]</f>
        <v>6.789999999999999</v>
      </c>
      <c r="M233" s="135">
        <v>16.79</v>
      </c>
      <c r="N233" s="134">
        <v>46168</v>
      </c>
      <c r="O233" s="136">
        <f>(Table1368[[#This Row],[Prix total Achat]]*2)</f>
        <v>33.58</v>
      </c>
      <c r="P233" s="136">
        <f>Table1368[[#This Row],[Prix Min voulu (x2 )]]*1.2</f>
        <v>40.296</v>
      </c>
      <c r="Q233" s="134">
        <v>46170</v>
      </c>
      <c r="R233" s="134">
        <v>46177</v>
      </c>
      <c r="S233" s="135">
        <v>59</v>
      </c>
      <c r="T233" s="134" t="s">
        <v>160</v>
      </c>
      <c r="U233" s="134" t="s">
        <v>157</v>
      </c>
      <c r="V233" s="137">
        <f>IF(ISBLANK(Table1368[[#This Row],[Date réception Achat]]),"",IF(ISBLANK(Table1368[[#This Row],[Date revente]]),TODAY(),Table1368[[#This Row],[Date revente]])-Table1368[[#This Row],[Date réception Achat]])</f>
        <v>9</v>
      </c>
      <c r="W23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33" s="135">
        <f>IF(Table1368[[#This Row],[Prix de revente]]="","",Table1368[[#This Row],[Prix de revente]]-Table1368[[#This Row],[Prix total Achat]])</f>
        <v>42.21</v>
      </c>
      <c r="Y233" s="138">
        <f>IF(Table1368[[#This Row],[Prix de revente]]="","",(Table1368[[#This Row],[Prix de revente]]/Table1368[[#This Row],[Prix total Achat]]))</f>
        <v>3.5139964264443124</v>
      </c>
      <c r="Z233" s="139">
        <f>IF(ISBLANK(Table1368[[#This Row],[Date réception Achat]]),"",IF(ISBLANK(Table1368[[#This Row],[Date réception Achat]]),TODAY(),Table1368[[#This Row],[Date réception Achat]])-Table1368[[#This Row],[Date achat]])</f>
        <v>13</v>
      </c>
      <c r="AA233" s="139">
        <f>IF(ISBLANK(Table1368[[#This Row],[Date relisting]]),"",IF(ISBLANK(Table1368[[#This Row],[Date relisting]]),TODAY(),Table1368[[#This Row],[Date relisting]])-Table1368[[#This Row],[Date réception Achat]])</f>
        <v>2</v>
      </c>
      <c r="AB233" s="139">
        <f>IF(ISBLANK(Table1368[[#This Row],[Date revente]]),"",IF(ISBLANK(Table1368[[#This Row],[Date revente]]),TODAY(),Table1368[[#This Row],[Date revente]])-Table1368[[#This Row],[Date relisting]])</f>
        <v>7</v>
      </c>
      <c r="AC233" s="139">
        <f>IF(ISBLANK(Table1368[[#This Row],[Date revente]]),"",IF(ISBLANK(Table1368[[#This Row],[Date revente]]),TODAY(),Table1368[[#This Row],[Date revente]])-Table1368[[#This Row],[Date réception Achat]])</f>
        <v>9</v>
      </c>
      <c r="AD233" s="139">
        <f>IF(ISBLANK(Table1368[[#This Row],[Date revente]]),"",IF(ISBLANK(Table1368[[#This Row],[Date revente]]),TODAY(),Table1368[[#This Row],[Date revente]])-Table1368[[#This Row],[Date achat]])</f>
        <v>22</v>
      </c>
    </row>
    <row r="234" spans="1:30" x14ac:dyDescent="0.25">
      <c r="A234" s="134">
        <v>46156</v>
      </c>
      <c r="B234" s="146" t="s">
        <v>688</v>
      </c>
      <c r="C234" s="134" t="s">
        <v>689</v>
      </c>
      <c r="D234" s="156" t="s">
        <v>690</v>
      </c>
      <c r="E234" s="156"/>
      <c r="F234" s="156"/>
      <c r="G234" s="134" t="s">
        <v>682</v>
      </c>
      <c r="H234" s="127" t="s">
        <v>178</v>
      </c>
      <c r="I234" s="134" t="s">
        <v>165</v>
      </c>
      <c r="J234" s="134" t="s">
        <v>157</v>
      </c>
      <c r="K234" s="135">
        <v>16.5</v>
      </c>
      <c r="L234" s="135">
        <f>Table1368[[#This Row],[Prix total Achat]]-Table1368[[#This Row],[Prix article]]</f>
        <v>16.149282</v>
      </c>
      <c r="M234" s="135">
        <v>32.649282</v>
      </c>
      <c r="N234" s="134">
        <v>46233</v>
      </c>
      <c r="O234" s="136">
        <f>(Table1368[[#This Row],[Prix total Achat]]*2)</f>
        <v>65.298564</v>
      </c>
      <c r="P234" s="136">
        <f>Table1368[[#This Row],[Prix Min voulu (x2 )]]*1.2</f>
        <v>78.3582768</v>
      </c>
      <c r="Q234" s="134">
        <v>46277</v>
      </c>
      <c r="R234" s="134">
        <v>46280</v>
      </c>
      <c r="S234" s="135">
        <v>85</v>
      </c>
      <c r="T234" s="134" t="s">
        <v>160</v>
      </c>
      <c r="U234" s="134" t="s">
        <v>157</v>
      </c>
      <c r="V234" s="137">
        <f>IF(ISBLANK(Table1368[[#This Row],[Date réception Achat]]),"",IF(ISBLANK(Table1368[[#This Row],[Date revente]]),TODAY(),Table1368[[#This Row],[Date revente]])-Table1368[[#This Row],[Date réception Achat]])</f>
        <v>47</v>
      </c>
      <c r="W23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34" s="135">
        <f>IF(Table1368[[#This Row],[Prix de revente]]="","",Table1368[[#This Row],[Prix de revente]]-Table1368[[#This Row],[Prix total Achat]])</f>
        <v>52.350718</v>
      </c>
      <c r="Y234" s="138">
        <f>IF(Table1368[[#This Row],[Prix de revente]]="","",(Table1368[[#This Row],[Prix de revente]]/Table1368[[#This Row],[Prix total Achat]]))</f>
        <v>2.603426317307682</v>
      </c>
      <c r="Z234" s="139">
        <f>IF(ISBLANK(Table1368[[#This Row],[Date réception Achat]]),"",IF(ISBLANK(Table1368[[#This Row],[Date réception Achat]]),TODAY(),Table1368[[#This Row],[Date réception Achat]])-Table1368[[#This Row],[Date achat]])</f>
        <v>77</v>
      </c>
      <c r="AA234" s="139">
        <f>IF(ISBLANK(Table1368[[#This Row],[Date relisting]]),"",IF(ISBLANK(Table1368[[#This Row],[Date relisting]]),TODAY(),Table1368[[#This Row],[Date relisting]])-Table1368[[#This Row],[Date réception Achat]])</f>
        <v>44</v>
      </c>
      <c r="AB234" s="139">
        <f>IF(ISBLANK(Table1368[[#This Row],[Date revente]]),"",IF(ISBLANK(Table1368[[#This Row],[Date revente]]),TODAY(),Table1368[[#This Row],[Date revente]])-Table1368[[#This Row],[Date relisting]])</f>
        <v>3</v>
      </c>
      <c r="AC234" s="139">
        <f>IF(ISBLANK(Table1368[[#This Row],[Date revente]]),"",IF(ISBLANK(Table1368[[#This Row],[Date revente]]),TODAY(),Table1368[[#This Row],[Date revente]])-Table1368[[#This Row],[Date réception Achat]])</f>
        <v>47</v>
      </c>
      <c r="AD234" s="139">
        <f>IF(ISBLANK(Table1368[[#This Row],[Date revente]]),"",IF(ISBLANK(Table1368[[#This Row],[Date revente]]),TODAY(),Table1368[[#This Row],[Date revente]])-Table1368[[#This Row],[Date achat]])</f>
        <v>124</v>
      </c>
    </row>
    <row r="235" spans="1:30" x14ac:dyDescent="0.25">
      <c r="A235" s="134">
        <v>46156</v>
      </c>
      <c r="B235" s="146" t="s">
        <v>691</v>
      </c>
      <c r="C235" s="134" t="s">
        <v>692</v>
      </c>
      <c r="D235" s="156" t="s">
        <v>690</v>
      </c>
      <c r="E235" s="156"/>
      <c r="F235" s="156"/>
      <c r="G235" s="134" t="s">
        <v>431</v>
      </c>
      <c r="H235" s="127" t="s">
        <v>178</v>
      </c>
      <c r="I235" s="134" t="s">
        <v>165</v>
      </c>
      <c r="J235" s="134" t="s">
        <v>157</v>
      </c>
      <c r="K235" s="135">
        <v>15.95</v>
      </c>
      <c r="L235" s="135">
        <f>Table1368[[#This Row],[Prix total Achat]]-Table1368[[#This Row],[Prix article]]</f>
        <v>16.149282000000003</v>
      </c>
      <c r="M235" s="135">
        <v>32.099282</v>
      </c>
      <c r="N235" s="134">
        <v>46233</v>
      </c>
      <c r="O235" s="136">
        <f>(Table1368[[#This Row],[Prix total Achat]]*2)</f>
        <v>64.198564</v>
      </c>
      <c r="P235" s="136">
        <f>Table1368[[#This Row],[Prix Min voulu (x2 )]]*1.2</f>
        <v>77.0382768</v>
      </c>
      <c r="Q235" s="134">
        <v>46277</v>
      </c>
      <c r="R235" s="134"/>
      <c r="S235" s="135"/>
      <c r="T235" s="134"/>
      <c r="U235" s="134" t="s">
        <v>157</v>
      </c>
      <c r="V235" s="137">
        <f>IF(ISBLANK(Table1368[[#This Row],[Date réception Achat]]),"",IF(ISBLANK(Table1368[[#This Row],[Date revente]]),TODAY(),Table1368[[#This Row],[Date revente]])-Table1368[[#This Row],[Date réception Achat]])</f>
        <v>70</v>
      </c>
      <c r="W23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35" s="135">
        <f>IF(Table1368[[#This Row],[Prix de revente]]="","",Table1368[[#This Row],[Prix de revente]]-Table1368[[#This Row],[Prix total Achat]])</f>
      </c>
      <c r="Y235" s="138">
        <f>IF(Table1368[[#This Row],[Prix de revente]]="","",(Table1368[[#This Row],[Prix de revente]]/Table1368[[#This Row],[Prix total Achat]]))</f>
      </c>
      <c r="Z235" s="139">
        <f>IF(ISBLANK(Table1368[[#This Row],[Date réception Achat]]),"",IF(ISBLANK(Table1368[[#This Row],[Date réception Achat]]),TODAY(),Table1368[[#This Row],[Date réception Achat]])-Table1368[[#This Row],[Date achat]])</f>
        <v>77</v>
      </c>
      <c r="AA235" s="139">
        <f>IF(ISBLANK(Table1368[[#This Row],[Date relisting]]),"",IF(ISBLANK(Table1368[[#This Row],[Date relisting]]),TODAY(),Table1368[[#This Row],[Date relisting]])-Table1368[[#This Row],[Date réception Achat]])</f>
        <v>44</v>
      </c>
      <c r="AB235" s="139">
        <f>IF(ISBLANK(Table1368[[#This Row],[Date revente]]),"",IF(ISBLANK(Table1368[[#This Row],[Date revente]]),TODAY(),Table1368[[#This Row],[Date revente]])-Table1368[[#This Row],[Date relisting]])</f>
      </c>
      <c r="AC235" s="139">
        <f>IF(ISBLANK(Table1368[[#This Row],[Date revente]]),"",IF(ISBLANK(Table1368[[#This Row],[Date revente]]),TODAY(),Table1368[[#This Row],[Date revente]])-Table1368[[#This Row],[Date réception Achat]])</f>
      </c>
      <c r="AD235" s="139">
        <f>IF(ISBLANK(Table1368[[#This Row],[Date revente]]),"",IF(ISBLANK(Table1368[[#This Row],[Date revente]]),TODAY(),Table1368[[#This Row],[Date revente]])-Table1368[[#This Row],[Date achat]])</f>
      </c>
    </row>
    <row r="236" spans="1:30" x14ac:dyDescent="0.25">
      <c r="A236" s="134">
        <v>46156</v>
      </c>
      <c r="B236" s="146" t="s">
        <v>693</v>
      </c>
      <c r="C236" s="134" t="s">
        <v>694</v>
      </c>
      <c r="D236" s="156" t="s">
        <v>690</v>
      </c>
      <c r="E236" s="156"/>
      <c r="F236" s="156"/>
      <c r="G236" s="134" t="s">
        <v>422</v>
      </c>
      <c r="H236" s="127" t="s">
        <v>178</v>
      </c>
      <c r="I236" s="134" t="s">
        <v>165</v>
      </c>
      <c r="J236" s="134" t="s">
        <v>157</v>
      </c>
      <c r="K236" s="135">
        <v>26.95</v>
      </c>
      <c r="L236" s="135">
        <f>Table1368[[#This Row],[Prix total Achat]]-Table1368[[#This Row],[Prix article]]</f>
        <v>16.149282000000003</v>
      </c>
      <c r="M236" s="135">
        <v>43.099282</v>
      </c>
      <c r="N236" s="134">
        <v>46233</v>
      </c>
      <c r="O236" s="136">
        <f>(Table1368[[#This Row],[Prix total Achat]]*2)</f>
        <v>86.198564</v>
      </c>
      <c r="P236" s="136">
        <f>Table1368[[#This Row],[Prix Min voulu (x2 )]]*1.2</f>
        <v>103.4382768</v>
      </c>
      <c r="Q236" s="134">
        <v>46277</v>
      </c>
      <c r="R236" s="134"/>
      <c r="S236" s="135"/>
      <c r="T236" s="134"/>
      <c r="U236" s="134" t="s">
        <v>157</v>
      </c>
      <c r="V236" s="137">
        <f>IF(ISBLANK(Table1368[[#This Row],[Date réception Achat]]),"",IF(ISBLANK(Table1368[[#This Row],[Date revente]]),TODAY(),Table1368[[#This Row],[Date revente]])-Table1368[[#This Row],[Date réception Achat]])</f>
        <v>70</v>
      </c>
      <c r="W23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36" s="135">
        <f>IF(Table1368[[#This Row],[Prix de revente]]="","",Table1368[[#This Row],[Prix de revente]]-Table1368[[#This Row],[Prix total Achat]])</f>
      </c>
      <c r="Y236" s="138">
        <f>IF(Table1368[[#This Row],[Prix de revente]]="","",(Table1368[[#This Row],[Prix de revente]]/Table1368[[#This Row],[Prix total Achat]]))</f>
      </c>
      <c r="Z236" s="139">
        <f>IF(ISBLANK(Table1368[[#This Row],[Date réception Achat]]),"",IF(ISBLANK(Table1368[[#This Row],[Date réception Achat]]),TODAY(),Table1368[[#This Row],[Date réception Achat]])-Table1368[[#This Row],[Date achat]])</f>
        <v>77</v>
      </c>
      <c r="AA236" s="139">
        <f>IF(ISBLANK(Table1368[[#This Row],[Date relisting]]),"",IF(ISBLANK(Table1368[[#This Row],[Date relisting]]),TODAY(),Table1368[[#This Row],[Date relisting]])-Table1368[[#This Row],[Date réception Achat]])</f>
        <v>44</v>
      </c>
      <c r="AB236" s="139">
        <f>IF(ISBLANK(Table1368[[#This Row],[Date revente]]),"",IF(ISBLANK(Table1368[[#This Row],[Date revente]]),TODAY(),Table1368[[#This Row],[Date revente]])-Table1368[[#This Row],[Date relisting]])</f>
      </c>
      <c r="AC236" s="139">
        <f>IF(ISBLANK(Table1368[[#This Row],[Date revente]]),"",IF(ISBLANK(Table1368[[#This Row],[Date revente]]),TODAY(),Table1368[[#This Row],[Date revente]])-Table1368[[#This Row],[Date réception Achat]])</f>
      </c>
      <c r="AD236" s="139">
        <f>IF(ISBLANK(Table1368[[#This Row],[Date revente]]),"",IF(ISBLANK(Table1368[[#This Row],[Date revente]]),TODAY(),Table1368[[#This Row],[Date revente]])-Table1368[[#This Row],[Date achat]])</f>
      </c>
    </row>
    <row r="237" spans="1:30" x14ac:dyDescent="0.25">
      <c r="A237" s="134">
        <v>46156</v>
      </c>
      <c r="B237" s="146" t="s">
        <v>695</v>
      </c>
      <c r="C237" s="134" t="s">
        <v>696</v>
      </c>
      <c r="D237" s="156" t="s">
        <v>690</v>
      </c>
      <c r="E237" s="156"/>
      <c r="F237" s="156"/>
      <c r="G237" s="134" t="s">
        <v>431</v>
      </c>
      <c r="H237" s="127" t="s">
        <v>178</v>
      </c>
      <c r="I237" s="134" t="s">
        <v>165</v>
      </c>
      <c r="J237" s="134" t="s">
        <v>157</v>
      </c>
      <c r="K237" s="135">
        <v>12.644499999999999</v>
      </c>
      <c r="L237" s="135">
        <f>Table1368[[#This Row],[Prix total Achat]]-Table1368[[#This Row],[Prix article]]</f>
        <v>16.149282</v>
      </c>
      <c r="M237" s="135">
        <v>28.793782</v>
      </c>
      <c r="N237" s="134">
        <v>46233</v>
      </c>
      <c r="O237" s="136">
        <f>(Table1368[[#This Row],[Prix total Achat]]*2)</f>
        <v>57.587564</v>
      </c>
      <c r="P237" s="136">
        <f>Table1368[[#This Row],[Prix Min voulu (x2 )]]*1.2</f>
        <v>69.10507679999999</v>
      </c>
      <c r="Q237" s="134">
        <v>46237</v>
      </c>
      <c r="R237" s="134">
        <v>46237</v>
      </c>
      <c r="S237" s="135">
        <v>60</v>
      </c>
      <c r="T237" s="134" t="s">
        <v>160</v>
      </c>
      <c r="U237" s="134" t="s">
        <v>157</v>
      </c>
      <c r="V237" s="137">
        <f>IF(ISBLANK(Table1368[[#This Row],[Date réception Achat]]),"",IF(ISBLANK(Table1368[[#This Row],[Date revente]]),TODAY(),Table1368[[#This Row],[Date revente]])-Table1368[[#This Row],[Date réception Achat]])</f>
        <v>4</v>
      </c>
      <c r="W23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37" s="135">
        <f>IF(Table1368[[#This Row],[Prix de revente]]="","",Table1368[[#This Row],[Prix de revente]]-Table1368[[#This Row],[Prix total Achat]])</f>
        <v>31.206218</v>
      </c>
      <c r="Y237" s="138">
        <f>IF(Table1368[[#This Row],[Prix de revente]]="","",(Table1368[[#This Row],[Prix de revente]]/Table1368[[#This Row],[Prix total Achat]]))</f>
        <v>2.083783227920528</v>
      </c>
      <c r="Z237" s="139">
        <f>IF(ISBLANK(Table1368[[#This Row],[Date réception Achat]]),"",IF(ISBLANK(Table1368[[#This Row],[Date réception Achat]]),TODAY(),Table1368[[#This Row],[Date réception Achat]])-Table1368[[#This Row],[Date achat]])</f>
        <v>77</v>
      </c>
      <c r="AA237" s="139">
        <f>IF(ISBLANK(Table1368[[#This Row],[Date relisting]]),"",IF(ISBLANK(Table1368[[#This Row],[Date relisting]]),TODAY(),Table1368[[#This Row],[Date relisting]])-Table1368[[#This Row],[Date réception Achat]])</f>
        <v>4</v>
      </c>
      <c r="AB237" s="139">
        <f>IF(ISBLANK(Table1368[[#This Row],[Date revente]]),"",IF(ISBLANK(Table1368[[#This Row],[Date revente]]),TODAY(),Table1368[[#This Row],[Date revente]])-Table1368[[#This Row],[Date relisting]])</f>
        <v>0</v>
      </c>
      <c r="AC237" s="139">
        <f>IF(ISBLANK(Table1368[[#This Row],[Date revente]]),"",IF(ISBLANK(Table1368[[#This Row],[Date revente]]),TODAY(),Table1368[[#This Row],[Date revente]])-Table1368[[#This Row],[Date réception Achat]])</f>
        <v>4</v>
      </c>
      <c r="AD237" s="139">
        <f>IF(ISBLANK(Table1368[[#This Row],[Date revente]]),"",IF(ISBLANK(Table1368[[#This Row],[Date revente]]),TODAY(),Table1368[[#This Row],[Date revente]])-Table1368[[#This Row],[Date achat]])</f>
        <v>81</v>
      </c>
    </row>
    <row r="238" spans="1:30" x14ac:dyDescent="0.25">
      <c r="A238" s="134">
        <v>46156</v>
      </c>
      <c r="B238" s="148" t="s">
        <v>697</v>
      </c>
      <c r="C238" s="134" t="s">
        <v>698</v>
      </c>
      <c r="D238" s="156" t="s">
        <v>690</v>
      </c>
      <c r="E238" s="156"/>
      <c r="F238" s="156"/>
      <c r="G238" s="134" t="s">
        <v>682</v>
      </c>
      <c r="H238" s="127" t="s">
        <v>178</v>
      </c>
      <c r="I238" s="134" t="s">
        <v>165</v>
      </c>
      <c r="J238" s="134" t="s">
        <v>157</v>
      </c>
      <c r="K238" s="135">
        <v>10.383999999999999</v>
      </c>
      <c r="L238" s="135">
        <f>Table1368[[#This Row],[Prix total Achat]]-Table1368[[#This Row],[Prix article]]</f>
        <v>16.149282</v>
      </c>
      <c r="M238" s="135">
        <v>26.533282</v>
      </c>
      <c r="N238" s="134">
        <v>46233</v>
      </c>
      <c r="O238" s="136">
        <f>(Table1368[[#This Row],[Prix total Achat]]*2)</f>
        <v>53.066564</v>
      </c>
      <c r="P238" s="136">
        <f>Table1368[[#This Row],[Prix Min voulu (x2 )]]*1.2</f>
        <v>63.679876799999995</v>
      </c>
      <c r="Q238" s="134">
        <v>46277</v>
      </c>
      <c r="R238" s="134"/>
      <c r="S238" s="135"/>
      <c r="T238" s="134"/>
      <c r="U238" s="134" t="s">
        <v>157</v>
      </c>
      <c r="V238" s="137">
        <f>IF(ISBLANK(Table1368[[#This Row],[Date réception Achat]]),"",IF(ISBLANK(Table1368[[#This Row],[Date revente]]),TODAY(),Table1368[[#This Row],[Date revente]])-Table1368[[#This Row],[Date réception Achat]])</f>
        <v>70</v>
      </c>
      <c r="W23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38" s="135">
        <f>IF(Table1368[[#This Row],[Prix de revente]]="","",Table1368[[#This Row],[Prix de revente]]-Table1368[[#This Row],[Prix total Achat]])</f>
      </c>
      <c r="Y238" s="138">
        <f>IF(Table1368[[#This Row],[Prix de revente]]="","",(Table1368[[#This Row],[Prix de revente]]/Table1368[[#This Row],[Prix total Achat]]))</f>
      </c>
      <c r="Z238" s="139">
        <f>IF(ISBLANK(Table1368[[#This Row],[Date réception Achat]]),"",IF(ISBLANK(Table1368[[#This Row],[Date réception Achat]]),TODAY(),Table1368[[#This Row],[Date réception Achat]])-Table1368[[#This Row],[Date achat]])</f>
        <v>77</v>
      </c>
      <c r="AA238" s="139">
        <f>IF(ISBLANK(Table1368[[#This Row],[Date relisting]]),"",IF(ISBLANK(Table1368[[#This Row],[Date relisting]]),TODAY(),Table1368[[#This Row],[Date relisting]])-Table1368[[#This Row],[Date réception Achat]])</f>
        <v>44</v>
      </c>
      <c r="AB238" s="139">
        <f>IF(ISBLANK(Table1368[[#This Row],[Date revente]]),"",IF(ISBLANK(Table1368[[#This Row],[Date revente]]),TODAY(),Table1368[[#This Row],[Date revente]])-Table1368[[#This Row],[Date relisting]])</f>
      </c>
      <c r="AC238" s="139">
        <f>IF(ISBLANK(Table1368[[#This Row],[Date revente]]),"",IF(ISBLANK(Table1368[[#This Row],[Date revente]]),TODAY(),Table1368[[#This Row],[Date revente]])-Table1368[[#This Row],[Date réception Achat]])</f>
      </c>
      <c r="AD238" s="139">
        <f>IF(ISBLANK(Table1368[[#This Row],[Date revente]]),"",IF(ISBLANK(Table1368[[#This Row],[Date revente]]),TODAY(),Table1368[[#This Row],[Date revente]])-Table1368[[#This Row],[Date achat]])</f>
      </c>
    </row>
    <row r="239" spans="1:30" x14ac:dyDescent="0.25">
      <c r="A239" s="134">
        <v>46156</v>
      </c>
      <c r="B239" s="148" t="s">
        <v>699</v>
      </c>
      <c r="C239" s="134" t="s">
        <v>700</v>
      </c>
      <c r="D239" s="156" t="s">
        <v>690</v>
      </c>
      <c r="E239" s="156"/>
      <c r="F239" s="156"/>
      <c r="G239" s="134" t="s">
        <v>701</v>
      </c>
      <c r="H239" s="127" t="s">
        <v>164</v>
      </c>
      <c r="I239" s="134" t="s">
        <v>165</v>
      </c>
      <c r="J239" s="134" t="s">
        <v>157</v>
      </c>
      <c r="K239" s="135">
        <v>29.645</v>
      </c>
      <c r="L239" s="135">
        <f>Table1368[[#This Row],[Prix total Achat]]-Table1368[[#This Row],[Prix article]]</f>
        <v>16.149281999999996</v>
      </c>
      <c r="M239" s="135">
        <v>45.794281999999995</v>
      </c>
      <c r="N239" s="134">
        <v>46233</v>
      </c>
      <c r="O239" s="136">
        <f>(Table1368[[#This Row],[Prix total Achat]]*2)</f>
        <v>91.58856399999999</v>
      </c>
      <c r="P239" s="136">
        <f>Table1368[[#This Row],[Prix Min voulu (x2 )]]*1.2</f>
        <v>109.90627679999999</v>
      </c>
      <c r="Q239" s="134">
        <v>46278</v>
      </c>
      <c r="R239" s="134">
        <v>46296</v>
      </c>
      <c r="S239" s="135">
        <v>100</v>
      </c>
      <c r="T239" s="134" t="s">
        <v>160</v>
      </c>
      <c r="U239" s="134" t="s">
        <v>157</v>
      </c>
      <c r="V239" s="137">
        <f>IF(ISBLANK(Table1368[[#This Row],[Date réception Achat]]),"",IF(ISBLANK(Table1368[[#This Row],[Date revente]]),TODAY(),Table1368[[#This Row],[Date revente]])-Table1368[[#This Row],[Date réception Achat]])</f>
        <v>63</v>
      </c>
      <c r="W23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39" s="135">
        <f>IF(Table1368[[#This Row],[Prix de revente]]="","",Table1368[[#This Row],[Prix de revente]]-Table1368[[#This Row],[Prix total Achat]])</f>
        <v>54.205718000000005</v>
      </c>
      <c r="Y239" s="138">
        <f>IF(Table1368[[#This Row],[Prix de revente]]="","",(Table1368[[#This Row],[Prix de revente]]/Table1368[[#This Row],[Prix total Achat]]))</f>
        <v>2.183678739629546</v>
      </c>
      <c r="Z239" s="139">
        <f>IF(ISBLANK(Table1368[[#This Row],[Date réception Achat]]),"",IF(ISBLANK(Table1368[[#This Row],[Date réception Achat]]),TODAY(),Table1368[[#This Row],[Date réception Achat]])-Table1368[[#This Row],[Date achat]])</f>
        <v>77</v>
      </c>
      <c r="AA239" s="139">
        <f>IF(ISBLANK(Table1368[[#This Row],[Date relisting]]),"",IF(ISBLANK(Table1368[[#This Row],[Date relisting]]),TODAY(),Table1368[[#This Row],[Date relisting]])-Table1368[[#This Row],[Date réception Achat]])</f>
        <v>45</v>
      </c>
      <c r="AB239" s="139">
        <f>IF(ISBLANK(Table1368[[#This Row],[Date revente]]),"",IF(ISBLANK(Table1368[[#This Row],[Date revente]]),TODAY(),Table1368[[#This Row],[Date revente]])-Table1368[[#This Row],[Date relisting]])</f>
        <v>18</v>
      </c>
      <c r="AC239" s="139">
        <f>IF(ISBLANK(Table1368[[#This Row],[Date revente]]),"",IF(ISBLANK(Table1368[[#This Row],[Date revente]]),TODAY(),Table1368[[#This Row],[Date revente]])-Table1368[[#This Row],[Date réception Achat]])</f>
        <v>63</v>
      </c>
      <c r="AD239" s="139">
        <f>IF(ISBLANK(Table1368[[#This Row],[Date revente]]),"",IF(ISBLANK(Table1368[[#This Row],[Date revente]]),TODAY(),Table1368[[#This Row],[Date revente]])-Table1368[[#This Row],[Date achat]])</f>
        <v>140</v>
      </c>
    </row>
    <row r="240" spans="1:30" x14ac:dyDescent="0.25">
      <c r="A240" s="134">
        <v>46156</v>
      </c>
      <c r="B240" s="148" t="s">
        <v>702</v>
      </c>
      <c r="C240" s="134" t="s">
        <v>703</v>
      </c>
      <c r="D240" s="156" t="s">
        <v>690</v>
      </c>
      <c r="E240" s="156"/>
      <c r="F240" s="156"/>
      <c r="G240" s="134" t="s">
        <v>422</v>
      </c>
      <c r="H240" s="127" t="s">
        <v>178</v>
      </c>
      <c r="I240" s="134" t="s">
        <v>165</v>
      </c>
      <c r="J240" s="134" t="s">
        <v>157</v>
      </c>
      <c r="K240" s="135">
        <v>38.841</v>
      </c>
      <c r="L240" s="135">
        <f>Table1368[[#This Row],[Prix total Achat]]-Table1368[[#This Row],[Prix article]]</f>
        <v>16.149282</v>
      </c>
      <c r="M240" s="135">
        <v>54.990282</v>
      </c>
      <c r="N240" s="134">
        <v>46233</v>
      </c>
      <c r="O240" s="136">
        <f>(Table1368[[#This Row],[Prix total Achat]]*2)</f>
        <v>109.980564</v>
      </c>
      <c r="P240" s="136">
        <f>Table1368[[#This Row],[Prix Min voulu (x2 )]]*1.2</f>
        <v>131.9766768</v>
      </c>
      <c r="Q240" s="134">
        <v>46277</v>
      </c>
      <c r="R240" s="134"/>
      <c r="S240" s="135"/>
      <c r="T240" s="134"/>
      <c r="U240" s="134" t="s">
        <v>157</v>
      </c>
      <c r="V240" s="137">
        <f>IF(ISBLANK(Table1368[[#This Row],[Date réception Achat]]),"",IF(ISBLANK(Table1368[[#This Row],[Date revente]]),TODAY(),Table1368[[#This Row],[Date revente]])-Table1368[[#This Row],[Date réception Achat]])</f>
        <v>70</v>
      </c>
      <c r="W24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40" s="135">
        <f>IF(Table1368[[#This Row],[Prix de revente]]="","",Table1368[[#This Row],[Prix de revente]]-Table1368[[#This Row],[Prix total Achat]])</f>
      </c>
      <c r="Y240" s="138">
        <f>IF(Table1368[[#This Row],[Prix de revente]]="","",(Table1368[[#This Row],[Prix de revente]]/Table1368[[#This Row],[Prix total Achat]]))</f>
      </c>
      <c r="Z240" s="139">
        <f>IF(ISBLANK(Table1368[[#This Row],[Date réception Achat]]),"",IF(ISBLANK(Table1368[[#This Row],[Date réception Achat]]),TODAY(),Table1368[[#This Row],[Date réception Achat]])-Table1368[[#This Row],[Date achat]])</f>
        <v>77</v>
      </c>
      <c r="AA240" s="139">
        <f>IF(ISBLANK(Table1368[[#This Row],[Date relisting]]),"",IF(ISBLANK(Table1368[[#This Row],[Date relisting]]),TODAY(),Table1368[[#This Row],[Date relisting]])-Table1368[[#This Row],[Date réception Achat]])</f>
        <v>44</v>
      </c>
      <c r="AB240" s="139">
        <f>IF(ISBLANK(Table1368[[#This Row],[Date revente]]),"",IF(ISBLANK(Table1368[[#This Row],[Date revente]]),TODAY(),Table1368[[#This Row],[Date revente]])-Table1368[[#This Row],[Date relisting]])</f>
      </c>
      <c r="AC240" s="139">
        <f>IF(ISBLANK(Table1368[[#This Row],[Date revente]]),"",IF(ISBLANK(Table1368[[#This Row],[Date revente]]),TODAY(),Table1368[[#This Row],[Date revente]])-Table1368[[#This Row],[Date réception Achat]])</f>
      </c>
      <c r="AD240" s="139">
        <f>IF(ISBLANK(Table1368[[#This Row],[Date revente]]),"",IF(ISBLANK(Table1368[[#This Row],[Date revente]]),TODAY(),Table1368[[#This Row],[Date revente]])-Table1368[[#This Row],[Date achat]])</f>
      </c>
    </row>
    <row r="241" spans="1:30" x14ac:dyDescent="0.25">
      <c r="A241" s="134">
        <v>46156</v>
      </c>
      <c r="B241" s="146" t="s">
        <v>704</v>
      </c>
      <c r="C241" s="134" t="s">
        <v>705</v>
      </c>
      <c r="D241" s="156" t="s">
        <v>706</v>
      </c>
      <c r="E241" s="156"/>
      <c r="F241" s="156"/>
      <c r="G241" s="134" t="s">
        <v>163</v>
      </c>
      <c r="H241" s="127" t="s">
        <v>174</v>
      </c>
      <c r="I241" s="134" t="s">
        <v>165</v>
      </c>
      <c r="J241" s="134" t="s">
        <v>157</v>
      </c>
      <c r="K241" s="135">
        <v>15.95</v>
      </c>
      <c r="L241" s="135">
        <f>Table1368[[#This Row],[Prix total Achat]]-Table1368[[#This Row],[Prix article]]</f>
        <v>15.614746666666665</v>
      </c>
      <c r="M241" s="135">
        <v>31.564746666666665</v>
      </c>
      <c r="N241" s="134">
        <v>46164</v>
      </c>
      <c r="O241" s="136">
        <f>(Table1368[[#This Row],[Prix total Achat]]*2)</f>
        <v>63.12949333333333</v>
      </c>
      <c r="P241" s="136">
        <f>Table1368[[#This Row],[Prix Min voulu (x2 )]]*1.2</f>
        <v>75.75539199999999</v>
      </c>
      <c r="Q241" s="134">
        <v>46165</v>
      </c>
      <c r="R241" s="134">
        <v>46194</v>
      </c>
      <c r="S241" s="135">
        <v>60</v>
      </c>
      <c r="T241" s="134" t="s">
        <v>160</v>
      </c>
      <c r="U241" s="134" t="s">
        <v>157</v>
      </c>
      <c r="V241" s="137">
        <f>IF(ISBLANK(Table1368[[#This Row],[Date réception Achat]]),"",IF(ISBLANK(Table1368[[#This Row],[Date revente]]),TODAY(),Table1368[[#This Row],[Date revente]])-Table1368[[#This Row],[Date réception Achat]])</f>
        <v>30</v>
      </c>
      <c r="W24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1" s="135">
        <f>IF(Table1368[[#This Row],[Prix de revente]]="","",Table1368[[#This Row],[Prix de revente]]-Table1368[[#This Row],[Prix total Achat]])</f>
        <v>28.435253333333335</v>
      </c>
      <c r="Y241" s="138">
        <f>IF(Table1368[[#This Row],[Prix de revente]]="","",(Table1368[[#This Row],[Prix de revente]]/Table1368[[#This Row],[Prix total Achat]]))</f>
        <v>1.9008547932799293</v>
      </c>
      <c r="Z241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241" s="139">
        <f>IF(ISBLANK(Table1368[[#This Row],[Date relisting]]),"",IF(ISBLANK(Table1368[[#This Row],[Date relisting]]),TODAY(),Table1368[[#This Row],[Date relisting]])-Table1368[[#This Row],[Date réception Achat]])</f>
        <v>1</v>
      </c>
      <c r="AB241" s="139">
        <f>IF(ISBLANK(Table1368[[#This Row],[Date revente]]),"",IF(ISBLANK(Table1368[[#This Row],[Date revente]]),TODAY(),Table1368[[#This Row],[Date revente]])-Table1368[[#This Row],[Date relisting]])</f>
        <v>29</v>
      </c>
      <c r="AC241" s="139">
        <f>IF(ISBLANK(Table1368[[#This Row],[Date revente]]),"",IF(ISBLANK(Table1368[[#This Row],[Date revente]]),TODAY(),Table1368[[#This Row],[Date revente]])-Table1368[[#This Row],[Date réception Achat]])</f>
        <v>30</v>
      </c>
      <c r="AD241" s="139">
        <f>IF(ISBLANK(Table1368[[#This Row],[Date revente]]),"",IF(ISBLANK(Table1368[[#This Row],[Date revente]]),TODAY(),Table1368[[#This Row],[Date revente]])-Table1368[[#This Row],[Date achat]])</f>
        <v>38</v>
      </c>
    </row>
    <row r="242" spans="1:30" x14ac:dyDescent="0.25">
      <c r="A242" s="134">
        <v>46156</v>
      </c>
      <c r="B242" s="146" t="s">
        <v>707</v>
      </c>
      <c r="C242" s="134" t="s">
        <v>708</v>
      </c>
      <c r="D242" s="156" t="s">
        <v>706</v>
      </c>
      <c r="E242" s="156"/>
      <c r="F242" s="156"/>
      <c r="G242" s="134" t="s">
        <v>163</v>
      </c>
      <c r="H242" s="127" t="s">
        <v>174</v>
      </c>
      <c r="I242" s="134" t="s">
        <v>165</v>
      </c>
      <c r="J242" s="134" t="s">
        <v>157</v>
      </c>
      <c r="K242" s="135">
        <v>19.25</v>
      </c>
      <c r="L242" s="135">
        <f>Table1368[[#This Row],[Prix total Achat]]-Table1368[[#This Row],[Prix article]]</f>
        <v>15.614746666666662</v>
      </c>
      <c r="M242" s="135">
        <v>34.86474666666666</v>
      </c>
      <c r="N242" s="134">
        <v>46164</v>
      </c>
      <c r="O242" s="136">
        <f>(Table1368[[#This Row],[Prix total Achat]]*2)</f>
        <v>69.72949333333332</v>
      </c>
      <c r="P242" s="136">
        <f>Table1368[[#This Row],[Prix Min voulu (x2 )]]*1.2</f>
        <v>83.67539199999999</v>
      </c>
      <c r="Q242" s="134">
        <v>46165</v>
      </c>
      <c r="R242" s="134">
        <v>46170</v>
      </c>
      <c r="S242" s="135">
        <v>75</v>
      </c>
      <c r="T242" s="134" t="s">
        <v>160</v>
      </c>
      <c r="U242" s="134" t="s">
        <v>157</v>
      </c>
      <c r="V242" s="137">
        <f>IF(ISBLANK(Table1368[[#This Row],[Date réception Achat]]),"",IF(ISBLANK(Table1368[[#This Row],[Date revente]]),TODAY(),Table1368[[#This Row],[Date revente]])-Table1368[[#This Row],[Date réception Achat]])</f>
        <v>6</v>
      </c>
      <c r="W24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2" s="135">
        <f>IF(Table1368[[#This Row],[Prix de revente]]="","",Table1368[[#This Row],[Prix de revente]]-Table1368[[#This Row],[Prix total Achat]])</f>
        <v>40.13525333333334</v>
      </c>
      <c r="Y242" s="138">
        <f>IF(Table1368[[#This Row],[Prix de revente]]="","",(Table1368[[#This Row],[Prix de revente]]/Table1368[[#This Row],[Prix total Achat]]))</f>
        <v>2.1511700835533585</v>
      </c>
      <c r="Z242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242" s="139">
        <f>IF(ISBLANK(Table1368[[#This Row],[Date relisting]]),"",IF(ISBLANK(Table1368[[#This Row],[Date relisting]]),TODAY(),Table1368[[#This Row],[Date relisting]])-Table1368[[#This Row],[Date réception Achat]])</f>
        <v>1</v>
      </c>
      <c r="AB242" s="139">
        <f>IF(ISBLANK(Table1368[[#This Row],[Date revente]]),"",IF(ISBLANK(Table1368[[#This Row],[Date revente]]),TODAY(),Table1368[[#This Row],[Date revente]])-Table1368[[#This Row],[Date relisting]])</f>
        <v>5</v>
      </c>
      <c r="AC242" s="139">
        <f>IF(ISBLANK(Table1368[[#This Row],[Date revente]]),"",IF(ISBLANK(Table1368[[#This Row],[Date revente]]),TODAY(),Table1368[[#This Row],[Date revente]])-Table1368[[#This Row],[Date réception Achat]])</f>
        <v>6</v>
      </c>
      <c r="AD242" s="139">
        <f>IF(ISBLANK(Table1368[[#This Row],[Date revente]]),"",IF(ISBLANK(Table1368[[#This Row],[Date revente]]),TODAY(),Table1368[[#This Row],[Date revente]])-Table1368[[#This Row],[Date achat]])</f>
        <v>14</v>
      </c>
    </row>
    <row r="243" spans="1:30" x14ac:dyDescent="0.25">
      <c r="A243" s="134">
        <v>46156</v>
      </c>
      <c r="B243" s="146" t="s">
        <v>709</v>
      </c>
      <c r="C243" s="134" t="s">
        <v>710</v>
      </c>
      <c r="D243" s="156" t="s">
        <v>706</v>
      </c>
      <c r="E243" s="156"/>
      <c r="F243" s="156"/>
      <c r="G243" s="134" t="s">
        <v>392</v>
      </c>
      <c r="H243" s="127" t="s">
        <v>178</v>
      </c>
      <c r="I243" s="134" t="s">
        <v>165</v>
      </c>
      <c r="J243" s="134" t="s">
        <v>157</v>
      </c>
      <c r="K243" s="135">
        <v>19.25</v>
      </c>
      <c r="L243" s="135">
        <f>Table1368[[#This Row],[Prix total Achat]]-Table1368[[#This Row],[Prix article]]</f>
        <v>15.614746666666662</v>
      </c>
      <c r="M243" s="135">
        <v>34.86474666666666</v>
      </c>
      <c r="N243" s="134">
        <v>46164</v>
      </c>
      <c r="O243" s="136">
        <f>(Table1368[[#This Row],[Prix total Achat]]*2)</f>
        <v>69.72949333333332</v>
      </c>
      <c r="P243" s="136">
        <f>Table1368[[#This Row],[Prix Min voulu (x2 )]]*1.2</f>
        <v>83.67539199999999</v>
      </c>
      <c r="Q243" s="134">
        <v>46165</v>
      </c>
      <c r="R243" s="134">
        <v>46176</v>
      </c>
      <c r="S243" s="135">
        <v>80</v>
      </c>
      <c r="T243" s="134" t="s">
        <v>160</v>
      </c>
      <c r="U243" s="134" t="s">
        <v>157</v>
      </c>
      <c r="V243" s="137">
        <f>IF(ISBLANK(Table1368[[#This Row],[Date réception Achat]]),"",IF(ISBLANK(Table1368[[#This Row],[Date revente]]),TODAY(),Table1368[[#This Row],[Date revente]])-Table1368[[#This Row],[Date réception Achat]])</f>
        <v>12</v>
      </c>
      <c r="W24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3" s="135">
        <f>IF(Table1368[[#This Row],[Prix de revente]]="","",Table1368[[#This Row],[Prix de revente]]-Table1368[[#This Row],[Prix total Achat]])</f>
        <v>45.13525333333334</v>
      </c>
      <c r="Y243" s="138">
        <f>IF(Table1368[[#This Row],[Prix de revente]]="","",(Table1368[[#This Row],[Prix de revente]]/Table1368[[#This Row],[Prix total Achat]]))</f>
        <v>2.2945814224569157</v>
      </c>
      <c r="Z243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243" s="139">
        <f>IF(ISBLANK(Table1368[[#This Row],[Date relisting]]),"",IF(ISBLANK(Table1368[[#This Row],[Date relisting]]),TODAY(),Table1368[[#This Row],[Date relisting]])-Table1368[[#This Row],[Date réception Achat]])</f>
        <v>1</v>
      </c>
      <c r="AB243" s="139">
        <f>IF(ISBLANK(Table1368[[#This Row],[Date revente]]),"",IF(ISBLANK(Table1368[[#This Row],[Date revente]]),TODAY(),Table1368[[#This Row],[Date revente]])-Table1368[[#This Row],[Date relisting]])</f>
        <v>11</v>
      </c>
      <c r="AC243" s="139">
        <f>IF(ISBLANK(Table1368[[#This Row],[Date revente]]),"",IF(ISBLANK(Table1368[[#This Row],[Date revente]]),TODAY(),Table1368[[#This Row],[Date revente]])-Table1368[[#This Row],[Date réception Achat]])</f>
        <v>12</v>
      </c>
      <c r="AD243" s="139">
        <f>IF(ISBLANK(Table1368[[#This Row],[Date revente]]),"",IF(ISBLANK(Table1368[[#This Row],[Date revente]]),TODAY(),Table1368[[#This Row],[Date revente]])-Table1368[[#This Row],[Date achat]])</f>
        <v>20</v>
      </c>
    </row>
    <row r="244" spans="1:30" x14ac:dyDescent="0.25">
      <c r="A244" s="134">
        <v>46156</v>
      </c>
      <c r="B244" s="146" t="s">
        <v>711</v>
      </c>
      <c r="C244" s="134" t="s">
        <v>712</v>
      </c>
      <c r="D244" s="156" t="s">
        <v>706</v>
      </c>
      <c r="E244" s="156"/>
      <c r="F244" s="156"/>
      <c r="G244" s="134" t="s">
        <v>177</v>
      </c>
      <c r="H244" s="127" t="s">
        <v>713</v>
      </c>
      <c r="I244" s="134" t="s">
        <v>165</v>
      </c>
      <c r="J244" s="134" t="s">
        <v>157</v>
      </c>
      <c r="K244" s="135">
        <v>37.949999999999996</v>
      </c>
      <c r="L244" s="135">
        <f>Table1368[[#This Row],[Prix total Achat]]-Table1368[[#This Row],[Prix article]]</f>
        <v>15.614746666666662</v>
      </c>
      <c r="M244" s="135">
        <v>53.56474666666666</v>
      </c>
      <c r="N244" s="134">
        <v>46164</v>
      </c>
      <c r="O244" s="136">
        <f>(Table1368[[#This Row],[Prix total Achat]]*2)</f>
        <v>107.12949333333331</v>
      </c>
      <c r="P244" s="136">
        <f>Table1368[[#This Row],[Prix Min voulu (x2 )]]*1.2</f>
        <v>128.55539199999998</v>
      </c>
      <c r="Q244" s="134">
        <v>46164</v>
      </c>
      <c r="R244" s="134">
        <v>46164</v>
      </c>
      <c r="S244" s="135">
        <v>155</v>
      </c>
      <c r="T244" s="134" t="s">
        <v>160</v>
      </c>
      <c r="U244" s="134" t="s">
        <v>157</v>
      </c>
      <c r="V244" s="137">
        <f>IF(ISBLANK(Table1368[[#This Row],[Date réception Achat]]),"",IF(ISBLANK(Table1368[[#This Row],[Date revente]]),TODAY(),Table1368[[#This Row],[Date revente]])-Table1368[[#This Row],[Date réception Achat]])</f>
        <v>0</v>
      </c>
      <c r="W24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4" s="135">
        <f>IF(Table1368[[#This Row],[Prix de revente]]="","",Table1368[[#This Row],[Prix de revente]]-Table1368[[#This Row],[Prix total Achat]])</f>
        <v>101.43525333333335</v>
      </c>
      <c r="Y244" s="138">
        <f>IF(Table1368[[#This Row],[Prix de revente]]="","",(Table1368[[#This Row],[Prix de revente]]/Table1368[[#This Row],[Prix total Achat]]))</f>
        <v>2.893694260603243</v>
      </c>
      <c r="Z244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244" s="139">
        <f>IF(ISBLANK(Table1368[[#This Row],[Date relisting]]),"",IF(ISBLANK(Table1368[[#This Row],[Date relisting]]),TODAY(),Table1368[[#This Row],[Date relisting]])-Table1368[[#This Row],[Date réception Achat]])</f>
        <v>0</v>
      </c>
      <c r="AB244" s="139">
        <f>IF(ISBLANK(Table1368[[#This Row],[Date revente]]),"",IF(ISBLANK(Table1368[[#This Row],[Date revente]]),TODAY(),Table1368[[#This Row],[Date revente]])-Table1368[[#This Row],[Date relisting]])</f>
        <v>0</v>
      </c>
      <c r="AC244" s="139">
        <f>IF(ISBLANK(Table1368[[#This Row],[Date revente]]),"",IF(ISBLANK(Table1368[[#This Row],[Date revente]]),TODAY(),Table1368[[#This Row],[Date revente]])-Table1368[[#This Row],[Date réception Achat]])</f>
        <v>0</v>
      </c>
      <c r="AD244" s="139">
        <f>IF(ISBLANK(Table1368[[#This Row],[Date revente]]),"",IF(ISBLANK(Table1368[[#This Row],[Date revente]]),TODAY(),Table1368[[#This Row],[Date revente]])-Table1368[[#This Row],[Date achat]])</f>
        <v>8</v>
      </c>
    </row>
    <row r="245" spans="1:30" x14ac:dyDescent="0.25">
      <c r="A245" s="134">
        <v>46156</v>
      </c>
      <c r="B245" s="148" t="s">
        <v>714</v>
      </c>
      <c r="C245" s="134" t="s">
        <v>715</v>
      </c>
      <c r="D245" s="156" t="s">
        <v>706</v>
      </c>
      <c r="E245" s="156"/>
      <c r="F245" s="156"/>
      <c r="G245" s="134" t="s">
        <v>392</v>
      </c>
      <c r="H245" s="127" t="s">
        <v>174</v>
      </c>
      <c r="I245" s="134" t="s">
        <v>165</v>
      </c>
      <c r="J245" s="134" t="s">
        <v>157</v>
      </c>
      <c r="K245" s="135">
        <v>21.889999999999997</v>
      </c>
      <c r="L245" s="135">
        <f>Table1368[[#This Row],[Prix total Achat]]-Table1368[[#This Row],[Prix article]]</f>
        <v>15.614746666666665</v>
      </c>
      <c r="M245" s="135">
        <v>37.50474666666666</v>
      </c>
      <c r="N245" s="134">
        <v>46164</v>
      </c>
      <c r="O245" s="136">
        <f>(Table1368[[#This Row],[Prix total Achat]]*2)</f>
        <v>75.00949333333332</v>
      </c>
      <c r="P245" s="136">
        <f>Table1368[[#This Row],[Prix Min voulu (x2 )]]*1.2</f>
        <v>90.01139199999999</v>
      </c>
      <c r="Q245" s="134">
        <v>46165</v>
      </c>
      <c r="R245" s="134">
        <v>46238</v>
      </c>
      <c r="S245" s="135">
        <v>80</v>
      </c>
      <c r="T245" s="134" t="s">
        <v>160</v>
      </c>
      <c r="U245" s="134" t="s">
        <v>157</v>
      </c>
      <c r="V245" s="137">
        <f>IF(ISBLANK(Table1368[[#This Row],[Date réception Achat]]),"",IF(ISBLANK(Table1368[[#This Row],[Date revente]]),TODAY(),Table1368[[#This Row],[Date revente]])-Table1368[[#This Row],[Date réception Achat]])</f>
        <v>74</v>
      </c>
      <c r="W24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5" s="135">
        <f>IF(Table1368[[#This Row],[Prix de revente]]="","",Table1368[[#This Row],[Prix de revente]]-Table1368[[#This Row],[Prix total Achat]])</f>
        <v>42.49525333333334</v>
      </c>
      <c r="Y245" s="138">
        <f>IF(Table1368[[#This Row],[Prix de revente]]="","",(Table1368[[#This Row],[Prix de revente]]/Table1368[[#This Row],[Prix total Achat]]))</f>
        <v>2.1330633349165407</v>
      </c>
      <c r="Z245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245" s="139">
        <f>IF(ISBLANK(Table1368[[#This Row],[Date relisting]]),"",IF(ISBLANK(Table1368[[#This Row],[Date relisting]]),TODAY(),Table1368[[#This Row],[Date relisting]])-Table1368[[#This Row],[Date réception Achat]])</f>
        <v>1</v>
      </c>
      <c r="AB245" s="139">
        <f>IF(ISBLANK(Table1368[[#This Row],[Date revente]]),"",IF(ISBLANK(Table1368[[#This Row],[Date revente]]),TODAY(),Table1368[[#This Row],[Date revente]])-Table1368[[#This Row],[Date relisting]])</f>
        <v>73</v>
      </c>
      <c r="AC245" s="139">
        <f>IF(ISBLANK(Table1368[[#This Row],[Date revente]]),"",IF(ISBLANK(Table1368[[#This Row],[Date revente]]),TODAY(),Table1368[[#This Row],[Date revente]])-Table1368[[#This Row],[Date réception Achat]])</f>
        <v>74</v>
      </c>
      <c r="AD245" s="139">
        <f>IF(ISBLANK(Table1368[[#This Row],[Date revente]]),"",IF(ISBLANK(Table1368[[#This Row],[Date revente]]),TODAY(),Table1368[[#This Row],[Date revente]])-Table1368[[#This Row],[Date achat]])</f>
        <v>82</v>
      </c>
    </row>
    <row r="246" spans="1:30" x14ac:dyDescent="0.25">
      <c r="A246" s="134">
        <v>46156</v>
      </c>
      <c r="B246" s="148" t="s">
        <v>716</v>
      </c>
      <c r="C246" s="134" t="s">
        <v>717</v>
      </c>
      <c r="D246" s="156" t="s">
        <v>706</v>
      </c>
      <c r="E246" s="156"/>
      <c r="F246" s="156"/>
      <c r="G246" s="134" t="s">
        <v>177</v>
      </c>
      <c r="H246" s="127" t="s">
        <v>295</v>
      </c>
      <c r="I246" s="134" t="s">
        <v>165</v>
      </c>
      <c r="J246" s="134" t="s">
        <v>157</v>
      </c>
      <c r="K246" s="135">
        <v>22</v>
      </c>
      <c r="L246" s="135">
        <f>Table1368[[#This Row],[Prix total Achat]]-Table1368[[#This Row],[Prix article]]</f>
        <v>15.614746666666662</v>
      </c>
      <c r="M246" s="135">
        <v>37.61474666666666</v>
      </c>
      <c r="N246" s="134">
        <v>46164</v>
      </c>
      <c r="O246" s="136">
        <f>(Table1368[[#This Row],[Prix total Achat]]*2)</f>
        <v>75.22949333333332</v>
      </c>
      <c r="P246" s="136">
        <f>Table1368[[#This Row],[Prix Min voulu (x2 )]]*1.2</f>
        <v>90.27539199999998</v>
      </c>
      <c r="Q246" s="134">
        <v>46164</v>
      </c>
      <c r="R246" s="134">
        <v>46238</v>
      </c>
      <c r="S246" s="135">
        <v>55</v>
      </c>
      <c r="T246" s="134" t="s">
        <v>160</v>
      </c>
      <c r="U246" s="134" t="s">
        <v>157</v>
      </c>
      <c r="V246" s="137">
        <f>IF(ISBLANK(Table1368[[#This Row],[Date réception Achat]]),"",IF(ISBLANK(Table1368[[#This Row],[Date revente]]),TODAY(),Table1368[[#This Row],[Date revente]])-Table1368[[#This Row],[Date réception Achat]])</f>
        <v>74</v>
      </c>
      <c r="W24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6" s="135">
        <f>IF(Table1368[[#This Row],[Prix de revente]]="","",Table1368[[#This Row],[Prix de revente]]-Table1368[[#This Row],[Prix total Achat]])</f>
        <v>17.38525333333334</v>
      </c>
      <c r="Y246" s="138">
        <f>IF(Table1368[[#This Row],[Prix de revente]]="","",(Table1368[[#This Row],[Prix de revente]]/Table1368[[#This Row],[Prix total Achat]]))</f>
        <v>1.4621924876271932</v>
      </c>
      <c r="Z246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246" s="139">
        <f>IF(ISBLANK(Table1368[[#This Row],[Date relisting]]),"",IF(ISBLANK(Table1368[[#This Row],[Date relisting]]),TODAY(),Table1368[[#This Row],[Date relisting]])-Table1368[[#This Row],[Date réception Achat]])</f>
        <v>0</v>
      </c>
      <c r="AB246" s="139">
        <f>IF(ISBLANK(Table1368[[#This Row],[Date revente]]),"",IF(ISBLANK(Table1368[[#This Row],[Date revente]]),TODAY(),Table1368[[#This Row],[Date revente]])-Table1368[[#This Row],[Date relisting]])</f>
        <v>74</v>
      </c>
      <c r="AC246" s="139">
        <f>IF(ISBLANK(Table1368[[#This Row],[Date revente]]),"",IF(ISBLANK(Table1368[[#This Row],[Date revente]]),TODAY(),Table1368[[#This Row],[Date revente]])-Table1368[[#This Row],[Date réception Achat]])</f>
        <v>74</v>
      </c>
      <c r="AD246" s="139">
        <f>IF(ISBLANK(Table1368[[#This Row],[Date revente]]),"",IF(ISBLANK(Table1368[[#This Row],[Date revente]]),TODAY(),Table1368[[#This Row],[Date revente]])-Table1368[[#This Row],[Date achat]])</f>
        <v>82</v>
      </c>
    </row>
    <row r="247" spans="1:30" x14ac:dyDescent="0.25">
      <c r="A247" s="134">
        <v>46158</v>
      </c>
      <c r="B247" s="146" t="s">
        <v>718</v>
      </c>
      <c r="C247" s="134" t="s">
        <v>719</v>
      </c>
      <c r="D247" s="156" t="s">
        <v>720</v>
      </c>
      <c r="E247" s="156"/>
      <c r="F247" s="156"/>
      <c r="G247" s="147" t="s">
        <v>721</v>
      </c>
      <c r="H247" s="155" t="s">
        <v>241</v>
      </c>
      <c r="I247" s="134" t="s">
        <v>165</v>
      </c>
      <c r="J247" s="134" t="s">
        <v>157</v>
      </c>
      <c r="K247" s="135">
        <v>35.75</v>
      </c>
      <c r="L247" s="135">
        <f>Table1368[[#This Row],[Prix total Achat]]-Table1368[[#This Row],[Prix article]]</f>
        <v>14.992116666666668</v>
      </c>
      <c r="M247" s="135">
        <v>50.74211666666667</v>
      </c>
      <c r="N247" s="134">
        <v>46165</v>
      </c>
      <c r="O247" s="136">
        <f>(Table1368[[#This Row],[Prix total Achat]]*2)</f>
        <v>101.48423333333334</v>
      </c>
      <c r="P247" s="136">
        <f>Table1368[[#This Row],[Prix Min voulu (x2 )]]*1.2</f>
        <v>121.78108</v>
      </c>
      <c r="Q247" s="134">
        <v>46170</v>
      </c>
      <c r="R247" s="134">
        <v>46170</v>
      </c>
      <c r="S247" s="135">
        <v>105</v>
      </c>
      <c r="T247" s="134" t="s">
        <v>160</v>
      </c>
      <c r="U247" s="134" t="s">
        <v>157</v>
      </c>
      <c r="V247" s="137">
        <f>IF(ISBLANK(Table1368[[#This Row],[Date réception Achat]]),"",IF(ISBLANK(Table1368[[#This Row],[Date revente]]),TODAY(),Table1368[[#This Row],[Date revente]])-Table1368[[#This Row],[Date réception Achat]])</f>
        <v>5</v>
      </c>
      <c r="W24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7" s="135">
        <f>IF(Table1368[[#This Row],[Prix de revente]]="","",Table1368[[#This Row],[Prix de revente]]-Table1368[[#This Row],[Prix total Achat]])</f>
        <v>54.25788333333333</v>
      </c>
      <c r="Y247" s="138">
        <f>IF(Table1368[[#This Row],[Prix de revente]]="","",(Table1368[[#This Row],[Prix de revente]]/Table1368[[#This Row],[Prix total Achat]]))</f>
        <v>2.069286953277143</v>
      </c>
      <c r="Z247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47" s="139">
        <f>IF(ISBLANK(Table1368[[#This Row],[Date relisting]]),"",IF(ISBLANK(Table1368[[#This Row],[Date relisting]]),TODAY(),Table1368[[#This Row],[Date relisting]])-Table1368[[#This Row],[Date réception Achat]])</f>
        <v>5</v>
      </c>
      <c r="AB247" s="139">
        <f>IF(ISBLANK(Table1368[[#This Row],[Date revente]]),"",IF(ISBLANK(Table1368[[#This Row],[Date revente]]),TODAY(),Table1368[[#This Row],[Date revente]])-Table1368[[#This Row],[Date relisting]])</f>
        <v>0</v>
      </c>
      <c r="AC247" s="139">
        <f>IF(ISBLANK(Table1368[[#This Row],[Date revente]]),"",IF(ISBLANK(Table1368[[#This Row],[Date revente]]),TODAY(),Table1368[[#This Row],[Date revente]])-Table1368[[#This Row],[Date réception Achat]])</f>
        <v>5</v>
      </c>
      <c r="AD247" s="139">
        <f>IF(ISBLANK(Table1368[[#This Row],[Date revente]]),"",IF(ISBLANK(Table1368[[#This Row],[Date revente]]),TODAY(),Table1368[[#This Row],[Date revente]])-Table1368[[#This Row],[Date achat]])</f>
        <v>12</v>
      </c>
    </row>
    <row r="248" spans="1:30" x14ac:dyDescent="0.25">
      <c r="A248" s="134">
        <v>46158</v>
      </c>
      <c r="B248" s="146" t="s">
        <v>722</v>
      </c>
      <c r="C248" s="134" t="s">
        <v>723</v>
      </c>
      <c r="D248" s="156" t="s">
        <v>720</v>
      </c>
      <c r="E248" s="156"/>
      <c r="F248" s="156"/>
      <c r="G248" s="147" t="s">
        <v>600</v>
      </c>
      <c r="H248" s="155" t="s">
        <v>178</v>
      </c>
      <c r="I248" s="134" t="s">
        <v>165</v>
      </c>
      <c r="J248" s="134" t="s">
        <v>157</v>
      </c>
      <c r="K248" s="135">
        <v>18.15</v>
      </c>
      <c r="L248" s="135">
        <f>Table1368[[#This Row],[Prix total Achat]]-Table1368[[#This Row],[Prix article]]</f>
        <v>14.992116666666668</v>
      </c>
      <c r="M248" s="135">
        <v>33.142116666666666</v>
      </c>
      <c r="N248" s="134">
        <v>46165</v>
      </c>
      <c r="O248" s="136">
        <f>(Table1368[[#This Row],[Prix total Achat]]*2)</f>
        <v>66.28423333333333</v>
      </c>
      <c r="P248" s="136">
        <f>Table1368[[#This Row],[Prix Min voulu (x2 )]]*1.2</f>
        <v>79.54108</v>
      </c>
      <c r="Q248" s="134">
        <v>46170</v>
      </c>
      <c r="R248" s="134">
        <v>46184</v>
      </c>
      <c r="S248" s="135">
        <v>75</v>
      </c>
      <c r="T248" s="134" t="s">
        <v>160</v>
      </c>
      <c r="U248" s="134" t="s">
        <v>157</v>
      </c>
      <c r="V248" s="137">
        <f>IF(ISBLANK(Table1368[[#This Row],[Date réception Achat]]),"",IF(ISBLANK(Table1368[[#This Row],[Date revente]]),TODAY(),Table1368[[#This Row],[Date revente]])-Table1368[[#This Row],[Date réception Achat]])</f>
        <v>19</v>
      </c>
      <c r="W24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8" s="135">
        <f>IF(Table1368[[#This Row],[Prix de revente]]="","",Table1368[[#This Row],[Prix de revente]]-Table1368[[#This Row],[Prix total Achat]])</f>
        <v>41.857883333333334</v>
      </c>
      <c r="Y248" s="138">
        <f>IF(Table1368[[#This Row],[Prix de revente]]="","",(Table1368[[#This Row],[Prix de revente]]/Table1368[[#This Row],[Prix total Achat]]))</f>
        <v>2.2629815939134845</v>
      </c>
      <c r="Z248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48" s="139">
        <f>IF(ISBLANK(Table1368[[#This Row],[Date relisting]]),"",IF(ISBLANK(Table1368[[#This Row],[Date relisting]]),TODAY(),Table1368[[#This Row],[Date relisting]])-Table1368[[#This Row],[Date réception Achat]])</f>
        <v>5</v>
      </c>
      <c r="AB248" s="139">
        <f>IF(ISBLANK(Table1368[[#This Row],[Date revente]]),"",IF(ISBLANK(Table1368[[#This Row],[Date revente]]),TODAY(),Table1368[[#This Row],[Date revente]])-Table1368[[#This Row],[Date relisting]])</f>
        <v>14</v>
      </c>
      <c r="AC248" s="139">
        <f>IF(ISBLANK(Table1368[[#This Row],[Date revente]]),"",IF(ISBLANK(Table1368[[#This Row],[Date revente]]),TODAY(),Table1368[[#This Row],[Date revente]])-Table1368[[#This Row],[Date réception Achat]])</f>
        <v>19</v>
      </c>
      <c r="AD248" s="139">
        <f>IF(ISBLANK(Table1368[[#This Row],[Date revente]]),"",IF(ISBLANK(Table1368[[#This Row],[Date revente]]),TODAY(),Table1368[[#This Row],[Date revente]])-Table1368[[#This Row],[Date achat]])</f>
        <v>26</v>
      </c>
    </row>
    <row r="249" spans="1:30" x14ac:dyDescent="0.25">
      <c r="A249" s="134">
        <v>46158</v>
      </c>
      <c r="B249" s="146" t="s">
        <v>724</v>
      </c>
      <c r="C249" s="134" t="s">
        <v>725</v>
      </c>
      <c r="D249" s="156" t="s">
        <v>720</v>
      </c>
      <c r="E249" s="156"/>
      <c r="F249" s="156"/>
      <c r="G249" s="147" t="s">
        <v>600</v>
      </c>
      <c r="H249" s="155" t="s">
        <v>178</v>
      </c>
      <c r="I249" s="134" t="s">
        <v>165</v>
      </c>
      <c r="J249" s="134" t="s">
        <v>157</v>
      </c>
      <c r="K249" s="135">
        <v>15.95</v>
      </c>
      <c r="L249" s="135">
        <f>Table1368[[#This Row],[Prix total Achat]]-Table1368[[#This Row],[Prix article]]</f>
        <v>14.992116666666664</v>
      </c>
      <c r="M249" s="135">
        <v>30.942116666666664</v>
      </c>
      <c r="N249" s="134">
        <v>46165</v>
      </c>
      <c r="O249" s="136">
        <f>(Table1368[[#This Row],[Prix total Achat]]*2)</f>
        <v>61.88423333333333</v>
      </c>
      <c r="P249" s="136">
        <f>Table1368[[#This Row],[Prix Min voulu (x2 )]]*1.2</f>
        <v>74.26107999999999</v>
      </c>
      <c r="Q249" s="134">
        <v>46171</v>
      </c>
      <c r="R249" s="134">
        <v>46177</v>
      </c>
      <c r="S249" s="135">
        <v>67.5</v>
      </c>
      <c r="T249" s="134" t="s">
        <v>160</v>
      </c>
      <c r="U249" s="134" t="s">
        <v>157</v>
      </c>
      <c r="V249" s="137">
        <f>IF(ISBLANK(Table1368[[#This Row],[Date réception Achat]]),"",IF(ISBLANK(Table1368[[#This Row],[Date revente]]),TODAY(),Table1368[[#This Row],[Date revente]])-Table1368[[#This Row],[Date réception Achat]])</f>
        <v>12</v>
      </c>
      <c r="W24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49" s="135">
        <f>IF(Table1368[[#This Row],[Prix de revente]]="","",Table1368[[#This Row],[Prix de revente]]-Table1368[[#This Row],[Prix total Achat]])</f>
        <v>36.557883333333336</v>
      </c>
      <c r="Y249" s="138">
        <f>IF(Table1368[[#This Row],[Prix de revente]]="","",(Table1368[[#This Row],[Prix de revente]]/Table1368[[#This Row],[Prix total Achat]]))</f>
        <v>2.1814926472924987</v>
      </c>
      <c r="Z249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49" s="139">
        <f>IF(ISBLANK(Table1368[[#This Row],[Date relisting]]),"",IF(ISBLANK(Table1368[[#This Row],[Date relisting]]),TODAY(),Table1368[[#This Row],[Date relisting]])-Table1368[[#This Row],[Date réception Achat]])</f>
        <v>6</v>
      </c>
      <c r="AB249" s="139">
        <f>IF(ISBLANK(Table1368[[#This Row],[Date revente]]),"",IF(ISBLANK(Table1368[[#This Row],[Date revente]]),TODAY(),Table1368[[#This Row],[Date revente]])-Table1368[[#This Row],[Date relisting]])</f>
        <v>6</v>
      </c>
      <c r="AC249" s="139">
        <f>IF(ISBLANK(Table1368[[#This Row],[Date revente]]),"",IF(ISBLANK(Table1368[[#This Row],[Date revente]]),TODAY(),Table1368[[#This Row],[Date revente]])-Table1368[[#This Row],[Date réception Achat]])</f>
        <v>12</v>
      </c>
      <c r="AD249" s="139">
        <f>IF(ISBLANK(Table1368[[#This Row],[Date revente]]),"",IF(ISBLANK(Table1368[[#This Row],[Date revente]]),TODAY(),Table1368[[#This Row],[Date revente]])-Table1368[[#This Row],[Date achat]])</f>
        <v>19</v>
      </c>
    </row>
    <row r="250" spans="1:30" x14ac:dyDescent="0.25">
      <c r="A250" s="134">
        <v>46158</v>
      </c>
      <c r="B250" s="146" t="s">
        <v>726</v>
      </c>
      <c r="C250" s="134" t="s">
        <v>727</v>
      </c>
      <c r="D250" s="156" t="s">
        <v>720</v>
      </c>
      <c r="E250" s="156"/>
      <c r="F250" s="156"/>
      <c r="G250" s="147" t="s">
        <v>600</v>
      </c>
      <c r="H250" s="155" t="s">
        <v>174</v>
      </c>
      <c r="I250" s="134" t="s">
        <v>165</v>
      </c>
      <c r="J250" s="134" t="s">
        <v>157</v>
      </c>
      <c r="K250" s="135">
        <v>15.95</v>
      </c>
      <c r="L250" s="135">
        <f>Table1368[[#This Row],[Prix total Achat]]-Table1368[[#This Row],[Prix article]]</f>
        <v>14.992116666666664</v>
      </c>
      <c r="M250" s="135">
        <v>30.942116666666664</v>
      </c>
      <c r="N250" s="134">
        <v>46165</v>
      </c>
      <c r="O250" s="136">
        <f>(Table1368[[#This Row],[Prix total Achat]]*2)</f>
        <v>61.88423333333333</v>
      </c>
      <c r="P250" s="136">
        <f>Table1368[[#This Row],[Prix Min voulu (x2 )]]*1.2</f>
        <v>74.26107999999999</v>
      </c>
      <c r="Q250" s="134">
        <v>46171</v>
      </c>
      <c r="R250" s="134"/>
      <c r="S250" s="135"/>
      <c r="T250" s="134"/>
      <c r="U250" s="134" t="s">
        <v>157</v>
      </c>
      <c r="V250" s="137">
        <f>IF(ISBLANK(Table1368[[#This Row],[Date réception Achat]]),"",IF(ISBLANK(Table1368[[#This Row],[Date revente]]),TODAY(),Table1368[[#This Row],[Date revente]])-Table1368[[#This Row],[Date réception Achat]])</f>
        <v>138</v>
      </c>
      <c r="W25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50" s="135">
        <f>IF(Table1368[[#This Row],[Prix de revente]]="","",Table1368[[#This Row],[Prix de revente]]-Table1368[[#This Row],[Prix total Achat]])</f>
      </c>
      <c r="Y250" s="138">
        <f>IF(Table1368[[#This Row],[Prix de revente]]="","",(Table1368[[#This Row],[Prix de revente]]/Table1368[[#This Row],[Prix total Achat]]))</f>
      </c>
      <c r="Z250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50" s="139">
        <f>IF(ISBLANK(Table1368[[#This Row],[Date relisting]]),"",IF(ISBLANK(Table1368[[#This Row],[Date relisting]]),TODAY(),Table1368[[#This Row],[Date relisting]])-Table1368[[#This Row],[Date réception Achat]])</f>
        <v>6</v>
      </c>
      <c r="AB250" s="139">
        <f>IF(ISBLANK(Table1368[[#This Row],[Date revente]]),"",IF(ISBLANK(Table1368[[#This Row],[Date revente]]),TODAY(),Table1368[[#This Row],[Date revente]])-Table1368[[#This Row],[Date relisting]])</f>
      </c>
      <c r="AC250" s="139">
        <f>IF(ISBLANK(Table1368[[#This Row],[Date revente]]),"",IF(ISBLANK(Table1368[[#This Row],[Date revente]]),TODAY(),Table1368[[#This Row],[Date revente]])-Table1368[[#This Row],[Date réception Achat]])</f>
      </c>
      <c r="AD250" s="139">
        <f>IF(ISBLANK(Table1368[[#This Row],[Date revente]]),"",IF(ISBLANK(Table1368[[#This Row],[Date revente]]),TODAY(),Table1368[[#This Row],[Date revente]])-Table1368[[#This Row],[Date achat]])</f>
      </c>
    </row>
    <row r="251" spans="1:30" x14ac:dyDescent="0.25">
      <c r="A251" s="134">
        <v>46158</v>
      </c>
      <c r="B251" s="148" t="s">
        <v>728</v>
      </c>
      <c r="C251" s="134" t="s">
        <v>729</v>
      </c>
      <c r="D251" s="156" t="s">
        <v>720</v>
      </c>
      <c r="E251" s="156"/>
      <c r="F251" s="156"/>
      <c r="G251" s="147" t="s">
        <v>600</v>
      </c>
      <c r="H251" s="155" t="s">
        <v>178</v>
      </c>
      <c r="I251" s="134" t="s">
        <v>165</v>
      </c>
      <c r="J251" s="134" t="s">
        <v>157</v>
      </c>
      <c r="K251" s="135">
        <v>4.3999999999999995</v>
      </c>
      <c r="L251" s="135">
        <f>Table1368[[#This Row],[Prix total Achat]]-Table1368[[#This Row],[Prix article]]</f>
        <v>14.992116666666668</v>
      </c>
      <c r="M251" s="135">
        <v>19.392116666666666</v>
      </c>
      <c r="N251" s="134">
        <v>46165</v>
      </c>
      <c r="O251" s="136">
        <f>(Table1368[[#This Row],[Prix total Achat]]*2)</f>
        <v>38.78423333333333</v>
      </c>
      <c r="P251" s="136">
        <f>Table1368[[#This Row],[Prix Min voulu (x2 )]]*1.2</f>
        <v>46.54108</v>
      </c>
      <c r="Q251" s="134">
        <v>46171</v>
      </c>
      <c r="R251" s="134">
        <v>46226</v>
      </c>
      <c r="S251" s="135">
        <v>32.5</v>
      </c>
      <c r="T251" s="134" t="s">
        <v>160</v>
      </c>
      <c r="U251" s="134" t="s">
        <v>157</v>
      </c>
      <c r="V251" s="137">
        <f>IF(ISBLANK(Table1368[[#This Row],[Date réception Achat]]),"",IF(ISBLANK(Table1368[[#This Row],[Date revente]]),TODAY(),Table1368[[#This Row],[Date revente]])-Table1368[[#This Row],[Date réception Achat]])</f>
        <v>61</v>
      </c>
      <c r="W25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1" s="135">
        <f>IF(Table1368[[#This Row],[Prix de revente]]="","",Table1368[[#This Row],[Prix de revente]]-Table1368[[#This Row],[Prix total Achat]])</f>
        <v>13.107883333333334</v>
      </c>
      <c r="Y251" s="138">
        <f>IF(Table1368[[#This Row],[Prix de revente]]="","",(Table1368[[#This Row],[Prix de revente]]/Table1368[[#This Row],[Prix total Achat]]))</f>
        <v>1.6759387620570902</v>
      </c>
      <c r="Z251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51" s="139">
        <f>IF(ISBLANK(Table1368[[#This Row],[Date relisting]]),"",IF(ISBLANK(Table1368[[#This Row],[Date relisting]]),TODAY(),Table1368[[#This Row],[Date relisting]])-Table1368[[#This Row],[Date réception Achat]])</f>
        <v>6</v>
      </c>
      <c r="AB251" s="139">
        <f>IF(ISBLANK(Table1368[[#This Row],[Date revente]]),"",IF(ISBLANK(Table1368[[#This Row],[Date revente]]),TODAY(),Table1368[[#This Row],[Date revente]])-Table1368[[#This Row],[Date relisting]])</f>
        <v>55</v>
      </c>
      <c r="AC251" s="139">
        <f>IF(ISBLANK(Table1368[[#This Row],[Date revente]]),"",IF(ISBLANK(Table1368[[#This Row],[Date revente]]),TODAY(),Table1368[[#This Row],[Date revente]])-Table1368[[#This Row],[Date réception Achat]])</f>
        <v>61</v>
      </c>
      <c r="AD251" s="139">
        <f>IF(ISBLANK(Table1368[[#This Row],[Date revente]]),"",IF(ISBLANK(Table1368[[#This Row],[Date revente]]),TODAY(),Table1368[[#This Row],[Date revente]])-Table1368[[#This Row],[Date achat]])</f>
        <v>68</v>
      </c>
    </row>
    <row r="252" spans="1:30" x14ac:dyDescent="0.25">
      <c r="A252" s="134">
        <v>46158</v>
      </c>
      <c r="B252" s="148" t="s">
        <v>730</v>
      </c>
      <c r="C252" s="134" t="s">
        <v>731</v>
      </c>
      <c r="D252" s="156" t="s">
        <v>720</v>
      </c>
      <c r="E252" s="156"/>
      <c r="F252" s="156"/>
      <c r="G252" s="147" t="s">
        <v>177</v>
      </c>
      <c r="H252" s="155" t="s">
        <v>732</v>
      </c>
      <c r="I252" s="134" t="s">
        <v>165</v>
      </c>
      <c r="J252" s="134" t="s">
        <v>157</v>
      </c>
      <c r="K252" s="135">
        <v>26.4</v>
      </c>
      <c r="L252" s="135">
        <f>Table1368[[#This Row],[Prix total Achat]]-Table1368[[#This Row],[Prix article]]</f>
        <v>14.992116666666668</v>
      </c>
      <c r="M252" s="135">
        <v>41.392116666666666</v>
      </c>
      <c r="N252" s="134">
        <v>46165</v>
      </c>
      <c r="O252" s="136">
        <f>(Table1368[[#This Row],[Prix total Achat]]*2)</f>
        <v>82.78423333333333</v>
      </c>
      <c r="P252" s="136">
        <f>Table1368[[#This Row],[Prix Min voulu (x2 )]]*1.2</f>
        <v>99.34107999999999</v>
      </c>
      <c r="Q252" s="134">
        <v>46170</v>
      </c>
      <c r="R252" s="134">
        <v>46200</v>
      </c>
      <c r="S252" s="135">
        <v>85</v>
      </c>
      <c r="T252" s="134" t="s">
        <v>160</v>
      </c>
      <c r="U252" s="134" t="s">
        <v>157</v>
      </c>
      <c r="V252" s="137">
        <f>IF(ISBLANK(Table1368[[#This Row],[Date réception Achat]]),"",IF(ISBLANK(Table1368[[#This Row],[Date revente]]),TODAY(),Table1368[[#This Row],[Date revente]])-Table1368[[#This Row],[Date réception Achat]])</f>
        <v>35</v>
      </c>
      <c r="W25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2" s="135">
        <f>IF(Table1368[[#This Row],[Prix de revente]]="","",Table1368[[#This Row],[Prix de revente]]-Table1368[[#This Row],[Prix total Achat]])</f>
        <v>43.607883333333334</v>
      </c>
      <c r="Y252" s="138">
        <f>IF(Table1368[[#This Row],[Prix de revente]]="","",(Table1368[[#This Row],[Prix de revente]]/Table1368[[#This Row],[Prix total Achat]]))</f>
        <v>2.0535311273040318</v>
      </c>
      <c r="Z252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252" s="139">
        <f>IF(ISBLANK(Table1368[[#This Row],[Date relisting]]),"",IF(ISBLANK(Table1368[[#This Row],[Date relisting]]),TODAY(),Table1368[[#This Row],[Date relisting]])-Table1368[[#This Row],[Date réception Achat]])</f>
        <v>5</v>
      </c>
      <c r="AB252" s="139">
        <f>IF(ISBLANK(Table1368[[#This Row],[Date revente]]),"",IF(ISBLANK(Table1368[[#This Row],[Date revente]]),TODAY(),Table1368[[#This Row],[Date revente]])-Table1368[[#This Row],[Date relisting]])</f>
        <v>30</v>
      </c>
      <c r="AC252" s="139">
        <f>IF(ISBLANK(Table1368[[#This Row],[Date revente]]),"",IF(ISBLANK(Table1368[[#This Row],[Date revente]]),TODAY(),Table1368[[#This Row],[Date revente]])-Table1368[[#This Row],[Date réception Achat]])</f>
        <v>35</v>
      </c>
      <c r="AD252" s="139">
        <f>IF(ISBLANK(Table1368[[#This Row],[Date revente]]),"",IF(ISBLANK(Table1368[[#This Row],[Date revente]]),TODAY(),Table1368[[#This Row],[Date revente]])-Table1368[[#This Row],[Date achat]])</f>
        <v>42</v>
      </c>
    </row>
    <row r="253" spans="1:30" x14ac:dyDescent="0.25">
      <c r="A253" s="134">
        <v>46163</v>
      </c>
      <c r="B253" s="146" t="s">
        <v>596</v>
      </c>
      <c r="C253" s="134" t="s">
        <v>733</v>
      </c>
      <c r="D253" s="157" t="s">
        <v>734</v>
      </c>
      <c r="E253" s="157"/>
      <c r="F253" s="157"/>
      <c r="G253" s="147" t="s">
        <v>163</v>
      </c>
      <c r="H253" s="155" t="s">
        <v>174</v>
      </c>
      <c r="I253" s="134" t="s">
        <v>165</v>
      </c>
      <c r="J253" s="134" t="s">
        <v>157</v>
      </c>
      <c r="K253" s="135">
        <v>15.399999999999999</v>
      </c>
      <c r="L253" s="135">
        <f>Table1368[[#This Row],[Prix total Achat]]-Table1368[[#This Row],[Prix article]]</f>
        <v>13.661932499999999</v>
      </c>
      <c r="M253" s="135">
        <v>29.061932499999998</v>
      </c>
      <c r="N253" s="134">
        <v>46174</v>
      </c>
      <c r="O253" s="136">
        <f>(Table1368[[#This Row],[Prix total Achat]]*2)</f>
        <v>58.123864999999995</v>
      </c>
      <c r="P253" s="136">
        <f>Table1368[[#This Row],[Prix Min voulu (x2 )]]*1.2</f>
        <v>69.74863799999999</v>
      </c>
      <c r="Q253" s="134">
        <v>46177</v>
      </c>
      <c r="R253" s="134">
        <v>46199</v>
      </c>
      <c r="S253" s="135">
        <v>89</v>
      </c>
      <c r="T253" s="134" t="s">
        <v>160</v>
      </c>
      <c r="U253" s="134" t="s">
        <v>157</v>
      </c>
      <c r="V253" s="137">
        <f>IF(ISBLANK(Table1368[[#This Row],[Date réception Achat]]),"",IF(ISBLANK(Table1368[[#This Row],[Date revente]]),TODAY(),Table1368[[#This Row],[Date revente]])-Table1368[[#This Row],[Date réception Achat]])</f>
        <v>25</v>
      </c>
      <c r="W25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3" s="135">
        <f>IF(Table1368[[#This Row],[Prix de revente]]="","",Table1368[[#This Row],[Prix de revente]]-Table1368[[#This Row],[Prix total Achat]])</f>
        <v>59.9380675</v>
      </c>
      <c r="Y253" s="138">
        <f>IF(Table1368[[#This Row],[Prix de revente]]="","",(Table1368[[#This Row],[Prix de revente]]/Table1368[[#This Row],[Prix total Achat]]))</f>
        <v>3.062425391016238</v>
      </c>
      <c r="Z253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53" s="139">
        <f>IF(ISBLANK(Table1368[[#This Row],[Date relisting]]),"",IF(ISBLANK(Table1368[[#This Row],[Date relisting]]),TODAY(),Table1368[[#This Row],[Date relisting]])-Table1368[[#This Row],[Date réception Achat]])</f>
        <v>3</v>
      </c>
      <c r="AB253" s="139">
        <f>IF(ISBLANK(Table1368[[#This Row],[Date revente]]),"",IF(ISBLANK(Table1368[[#This Row],[Date revente]]),TODAY(),Table1368[[#This Row],[Date revente]])-Table1368[[#This Row],[Date relisting]])</f>
        <v>22</v>
      </c>
      <c r="AC253" s="139">
        <f>IF(ISBLANK(Table1368[[#This Row],[Date revente]]),"",IF(ISBLANK(Table1368[[#This Row],[Date revente]]),TODAY(),Table1368[[#This Row],[Date revente]])-Table1368[[#This Row],[Date réception Achat]])</f>
        <v>25</v>
      </c>
      <c r="AD253" s="139">
        <f>IF(ISBLANK(Table1368[[#This Row],[Date revente]]),"",IF(ISBLANK(Table1368[[#This Row],[Date revente]]),TODAY(),Table1368[[#This Row],[Date revente]])-Table1368[[#This Row],[Date achat]])</f>
        <v>36</v>
      </c>
    </row>
    <row r="254" spans="1:30" x14ac:dyDescent="0.25">
      <c r="A254" s="134">
        <v>46163</v>
      </c>
      <c r="B254" s="146" t="s">
        <v>735</v>
      </c>
      <c r="C254" s="134" t="s">
        <v>736</v>
      </c>
      <c r="D254" s="157" t="s">
        <v>734</v>
      </c>
      <c r="E254" s="157"/>
      <c r="F254" s="157"/>
      <c r="G254" s="147" t="s">
        <v>737</v>
      </c>
      <c r="H254" s="155" t="s">
        <v>178</v>
      </c>
      <c r="I254" s="134" t="s">
        <v>165</v>
      </c>
      <c r="J254" s="134" t="s">
        <v>157</v>
      </c>
      <c r="K254" s="135">
        <v>27.389999999999997</v>
      </c>
      <c r="L254" s="135">
        <f>Table1368[[#This Row],[Prix total Achat]]-Table1368[[#This Row],[Prix article]]</f>
        <v>13.661932499999995</v>
      </c>
      <c r="M254" s="135">
        <v>41.05193249999999</v>
      </c>
      <c r="N254" s="134">
        <v>46174</v>
      </c>
      <c r="O254" s="136">
        <f>(Table1368[[#This Row],[Prix total Achat]]*2)</f>
        <v>82.10386499999998</v>
      </c>
      <c r="P254" s="136">
        <f>Table1368[[#This Row],[Prix Min voulu (x2 )]]*1.2</f>
        <v>98.52463799999998</v>
      </c>
      <c r="Q254" s="134">
        <v>46178</v>
      </c>
      <c r="R254" s="134">
        <v>46210</v>
      </c>
      <c r="S254" s="135">
        <v>100</v>
      </c>
      <c r="T254" s="134" t="s">
        <v>160</v>
      </c>
      <c r="U254" s="134" t="s">
        <v>157</v>
      </c>
      <c r="V254" s="137">
        <f>IF(ISBLANK(Table1368[[#This Row],[Date réception Achat]]),"",IF(ISBLANK(Table1368[[#This Row],[Date revente]]),TODAY(),Table1368[[#This Row],[Date revente]])-Table1368[[#This Row],[Date réception Achat]])</f>
        <v>36</v>
      </c>
      <c r="W25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4" s="135">
        <f>IF(Table1368[[#This Row],[Prix de revente]]="","",Table1368[[#This Row],[Prix de revente]]-Table1368[[#This Row],[Prix total Achat]])</f>
        <v>58.94806750000001</v>
      </c>
      <c r="Y254" s="138">
        <f>IF(Table1368[[#This Row],[Prix de revente]]="","",(Table1368[[#This Row],[Prix de revente]]/Table1368[[#This Row],[Prix total Achat]]))</f>
        <v>2.4359389171264962</v>
      </c>
      <c r="Z254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54" s="139">
        <f>IF(ISBLANK(Table1368[[#This Row],[Date relisting]]),"",IF(ISBLANK(Table1368[[#This Row],[Date relisting]]),TODAY(),Table1368[[#This Row],[Date relisting]])-Table1368[[#This Row],[Date réception Achat]])</f>
        <v>4</v>
      </c>
      <c r="AB254" s="139">
        <f>IF(ISBLANK(Table1368[[#This Row],[Date revente]]),"",IF(ISBLANK(Table1368[[#This Row],[Date revente]]),TODAY(),Table1368[[#This Row],[Date revente]])-Table1368[[#This Row],[Date relisting]])</f>
        <v>32</v>
      </c>
      <c r="AC254" s="139">
        <f>IF(ISBLANK(Table1368[[#This Row],[Date revente]]),"",IF(ISBLANK(Table1368[[#This Row],[Date revente]]),TODAY(),Table1368[[#This Row],[Date revente]])-Table1368[[#This Row],[Date réception Achat]])</f>
        <v>36</v>
      </c>
      <c r="AD254" s="139">
        <f>IF(ISBLANK(Table1368[[#This Row],[Date revente]]),"",IF(ISBLANK(Table1368[[#This Row],[Date revente]]),TODAY(),Table1368[[#This Row],[Date revente]])-Table1368[[#This Row],[Date achat]])</f>
        <v>47</v>
      </c>
    </row>
    <row r="255" spans="1:30" x14ac:dyDescent="0.25">
      <c r="A255" s="134">
        <v>46163</v>
      </c>
      <c r="B255" s="146" t="s">
        <v>738</v>
      </c>
      <c r="C255" s="134" t="s">
        <v>739</v>
      </c>
      <c r="D255" s="157" t="s">
        <v>734</v>
      </c>
      <c r="E255" s="157"/>
      <c r="F255" s="157"/>
      <c r="G255" s="147" t="s">
        <v>163</v>
      </c>
      <c r="H255" s="155" t="s">
        <v>178</v>
      </c>
      <c r="I255" s="134" t="s">
        <v>165</v>
      </c>
      <c r="J255" s="134" t="s">
        <v>157</v>
      </c>
      <c r="K255" s="135">
        <v>16.5</v>
      </c>
      <c r="L255" s="135">
        <f>Table1368[[#This Row],[Prix total Achat]]-Table1368[[#This Row],[Prix article]]</f>
        <v>13.661932499999999</v>
      </c>
      <c r="M255" s="135">
        <v>30.1619325</v>
      </c>
      <c r="N255" s="134">
        <v>46174</v>
      </c>
      <c r="O255" s="136">
        <f>(Table1368[[#This Row],[Prix total Achat]]*2)</f>
        <v>60.323865</v>
      </c>
      <c r="P255" s="136">
        <f>Table1368[[#This Row],[Prix Min voulu (x2 )]]*1.2</f>
        <v>72.388638</v>
      </c>
      <c r="Q255" s="134">
        <v>46176</v>
      </c>
      <c r="R255" s="134">
        <v>46178</v>
      </c>
      <c r="S255" s="135">
        <v>85</v>
      </c>
      <c r="T255" s="134" t="s">
        <v>160</v>
      </c>
      <c r="U255" s="134" t="s">
        <v>157</v>
      </c>
      <c r="V255" s="137">
        <f>IF(ISBLANK(Table1368[[#This Row],[Date réception Achat]]),"",IF(ISBLANK(Table1368[[#This Row],[Date revente]]),TODAY(),Table1368[[#This Row],[Date revente]])-Table1368[[#This Row],[Date réception Achat]])</f>
        <v>4</v>
      </c>
      <c r="W25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5" s="135">
        <f>IF(Table1368[[#This Row],[Prix de revente]]="","",Table1368[[#This Row],[Prix de revente]]-Table1368[[#This Row],[Prix total Achat]])</f>
        <v>54.8380675</v>
      </c>
      <c r="Y255" s="138">
        <f>IF(Table1368[[#This Row],[Prix de revente]]="","",(Table1368[[#This Row],[Prix de revente]]/Table1368[[#This Row],[Prix total Achat]]))</f>
        <v>2.8181218162994033</v>
      </c>
      <c r="Z255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55" s="139">
        <f>IF(ISBLANK(Table1368[[#This Row],[Date relisting]]),"",IF(ISBLANK(Table1368[[#This Row],[Date relisting]]),TODAY(),Table1368[[#This Row],[Date relisting]])-Table1368[[#This Row],[Date réception Achat]])</f>
        <v>2</v>
      </c>
      <c r="AB255" s="139">
        <f>IF(ISBLANK(Table1368[[#This Row],[Date revente]]),"",IF(ISBLANK(Table1368[[#This Row],[Date revente]]),TODAY(),Table1368[[#This Row],[Date revente]])-Table1368[[#This Row],[Date relisting]])</f>
        <v>2</v>
      </c>
      <c r="AC255" s="139">
        <f>IF(ISBLANK(Table1368[[#This Row],[Date revente]]),"",IF(ISBLANK(Table1368[[#This Row],[Date revente]]),TODAY(),Table1368[[#This Row],[Date revente]])-Table1368[[#This Row],[Date réception Achat]])</f>
        <v>4</v>
      </c>
      <c r="AD255" s="139">
        <f>IF(ISBLANK(Table1368[[#This Row],[Date revente]]),"",IF(ISBLANK(Table1368[[#This Row],[Date revente]]),TODAY(),Table1368[[#This Row],[Date revente]])-Table1368[[#This Row],[Date achat]])</f>
        <v>15</v>
      </c>
    </row>
    <row r="256" spans="1:30" x14ac:dyDescent="0.25">
      <c r="A256" s="134">
        <v>46163</v>
      </c>
      <c r="B256" s="146" t="s">
        <v>596</v>
      </c>
      <c r="C256" s="134" t="s">
        <v>740</v>
      </c>
      <c r="D256" s="157" t="s">
        <v>734</v>
      </c>
      <c r="E256" s="157"/>
      <c r="F256" s="157"/>
      <c r="G256" s="147" t="s">
        <v>163</v>
      </c>
      <c r="H256" s="155" t="s">
        <v>164</v>
      </c>
      <c r="I256" s="134" t="s">
        <v>165</v>
      </c>
      <c r="J256" s="134" t="s">
        <v>157</v>
      </c>
      <c r="K256" s="135">
        <v>16.5</v>
      </c>
      <c r="L256" s="135">
        <f>Table1368[[#This Row],[Prix total Achat]]-Table1368[[#This Row],[Prix article]]</f>
        <v>13.661932499999999</v>
      </c>
      <c r="M256" s="135">
        <v>30.1619325</v>
      </c>
      <c r="N256" s="134">
        <v>46174</v>
      </c>
      <c r="O256" s="136">
        <f>(Table1368[[#This Row],[Prix total Achat]]*2)</f>
        <v>60.323865</v>
      </c>
      <c r="P256" s="136">
        <f>Table1368[[#This Row],[Prix Min voulu (x2 )]]*1.2</f>
        <v>72.388638</v>
      </c>
      <c r="Q256" s="134">
        <v>46177</v>
      </c>
      <c r="R256" s="134">
        <v>46212</v>
      </c>
      <c r="S256" s="135">
        <v>76.95</v>
      </c>
      <c r="T256" s="134" t="s">
        <v>160</v>
      </c>
      <c r="U256" s="134" t="s">
        <v>189</v>
      </c>
      <c r="V256" s="137">
        <f>IF(ISBLANK(Table1368[[#This Row],[Date réception Achat]]),"",IF(ISBLANK(Table1368[[#This Row],[Date revente]]),TODAY(),Table1368[[#This Row],[Date revente]])-Table1368[[#This Row],[Date réception Achat]])</f>
        <v>38</v>
      </c>
      <c r="W25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6" s="135">
        <f>IF(Table1368[[#This Row],[Prix de revente]]="","",Table1368[[#This Row],[Prix de revente]]-Table1368[[#This Row],[Prix total Achat]])</f>
        <v>46.788067500000004</v>
      </c>
      <c r="Y256" s="138">
        <f>IF(Table1368[[#This Row],[Prix de revente]]="","",(Table1368[[#This Row],[Prix de revente]]/Table1368[[#This Row],[Prix total Achat]]))</f>
        <v>2.551229103108695</v>
      </c>
      <c r="Z256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56" s="139">
        <f>IF(ISBLANK(Table1368[[#This Row],[Date relisting]]),"",IF(ISBLANK(Table1368[[#This Row],[Date relisting]]),TODAY(),Table1368[[#This Row],[Date relisting]])-Table1368[[#This Row],[Date réception Achat]])</f>
        <v>3</v>
      </c>
      <c r="AB256" s="139">
        <f>IF(ISBLANK(Table1368[[#This Row],[Date revente]]),"",IF(ISBLANK(Table1368[[#This Row],[Date revente]]),TODAY(),Table1368[[#This Row],[Date revente]])-Table1368[[#This Row],[Date relisting]])</f>
        <v>35</v>
      </c>
      <c r="AC256" s="139">
        <f>IF(ISBLANK(Table1368[[#This Row],[Date revente]]),"",IF(ISBLANK(Table1368[[#This Row],[Date revente]]),TODAY(),Table1368[[#This Row],[Date revente]])-Table1368[[#This Row],[Date réception Achat]])</f>
        <v>38</v>
      </c>
      <c r="AD256" s="139">
        <f>IF(ISBLANK(Table1368[[#This Row],[Date revente]]),"",IF(ISBLANK(Table1368[[#This Row],[Date revente]]),TODAY(),Table1368[[#This Row],[Date revente]])-Table1368[[#This Row],[Date achat]])</f>
        <v>49</v>
      </c>
    </row>
    <row r="257" spans="1:30" x14ac:dyDescent="0.25">
      <c r="A257" s="134">
        <v>46163</v>
      </c>
      <c r="B257" s="148" t="s">
        <v>596</v>
      </c>
      <c r="C257" s="134" t="s">
        <v>741</v>
      </c>
      <c r="D257" s="157" t="s">
        <v>734</v>
      </c>
      <c r="E257" s="157"/>
      <c r="F257" s="157"/>
      <c r="G257" s="147" t="s">
        <v>163</v>
      </c>
      <c r="H257" s="155" t="s">
        <v>164</v>
      </c>
      <c r="I257" s="134" t="s">
        <v>165</v>
      </c>
      <c r="J257" s="134" t="s">
        <v>157</v>
      </c>
      <c r="K257" s="135">
        <v>19.25</v>
      </c>
      <c r="L257" s="135">
        <f>Table1368[[#This Row],[Prix total Achat]]-Table1368[[#This Row],[Prix article]]</f>
        <v>13.661932499999999</v>
      </c>
      <c r="M257" s="135">
        <v>32.9119325</v>
      </c>
      <c r="N257" s="134">
        <v>46174</v>
      </c>
      <c r="O257" s="136">
        <f>(Table1368[[#This Row],[Prix total Achat]]*2)</f>
        <v>65.823865</v>
      </c>
      <c r="P257" s="136">
        <f>Table1368[[#This Row],[Prix Min voulu (x2 )]]*1.2</f>
        <v>78.988638</v>
      </c>
      <c r="Q257" s="134">
        <v>46176</v>
      </c>
      <c r="R257" s="134">
        <v>46175</v>
      </c>
      <c r="S257" s="135">
        <v>100</v>
      </c>
      <c r="T257" s="134" t="s">
        <v>160</v>
      </c>
      <c r="U257" s="134" t="s">
        <v>157</v>
      </c>
      <c r="V257" s="137">
        <f>IF(ISBLANK(Table1368[[#This Row],[Date réception Achat]]),"",IF(ISBLANK(Table1368[[#This Row],[Date revente]]),TODAY(),Table1368[[#This Row],[Date revente]])-Table1368[[#This Row],[Date réception Achat]])</f>
        <v>1</v>
      </c>
      <c r="W25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7" s="135">
        <f>IF(Table1368[[#This Row],[Prix de revente]]="","",Table1368[[#This Row],[Prix de revente]]-Table1368[[#This Row],[Prix total Achat]])</f>
        <v>67.0880675</v>
      </c>
      <c r="Y257" s="138">
        <f>IF(Table1368[[#This Row],[Prix de revente]]="","",(Table1368[[#This Row],[Prix de revente]]/Table1368[[#This Row],[Prix total Achat]]))</f>
        <v>3.0384116763729994</v>
      </c>
      <c r="Z257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57" s="139">
        <f>IF(ISBLANK(Table1368[[#This Row],[Date relisting]]),"",IF(ISBLANK(Table1368[[#This Row],[Date relisting]]),TODAY(),Table1368[[#This Row],[Date relisting]])-Table1368[[#This Row],[Date réception Achat]])</f>
        <v>2</v>
      </c>
      <c r="AB257" s="139">
        <f>IF(ISBLANK(Table1368[[#This Row],[Date revente]]),"",IF(ISBLANK(Table1368[[#This Row],[Date revente]]),TODAY(),Table1368[[#This Row],[Date revente]])-Table1368[[#This Row],[Date relisting]])</f>
        <v>-1</v>
      </c>
      <c r="AC257" s="139">
        <f>IF(ISBLANK(Table1368[[#This Row],[Date revente]]),"",IF(ISBLANK(Table1368[[#This Row],[Date revente]]),TODAY(),Table1368[[#This Row],[Date revente]])-Table1368[[#This Row],[Date réception Achat]])</f>
        <v>1</v>
      </c>
      <c r="AD257" s="139">
        <f>IF(ISBLANK(Table1368[[#This Row],[Date revente]]),"",IF(ISBLANK(Table1368[[#This Row],[Date revente]]),TODAY(),Table1368[[#This Row],[Date revente]])-Table1368[[#This Row],[Date achat]])</f>
        <v>12</v>
      </c>
    </row>
    <row r="258" spans="1:30" x14ac:dyDescent="0.25">
      <c r="A258" s="134">
        <v>46163</v>
      </c>
      <c r="B258" s="148" t="s">
        <v>596</v>
      </c>
      <c r="C258" s="134" t="s">
        <v>742</v>
      </c>
      <c r="D258" s="157" t="s">
        <v>734</v>
      </c>
      <c r="E258" s="157"/>
      <c r="F258" s="157"/>
      <c r="G258" s="147" t="s">
        <v>163</v>
      </c>
      <c r="H258" s="155" t="s">
        <v>164</v>
      </c>
      <c r="I258" s="134" t="s">
        <v>165</v>
      </c>
      <c r="J258" s="134" t="s">
        <v>157</v>
      </c>
      <c r="K258" s="135">
        <v>22</v>
      </c>
      <c r="L258" s="135">
        <f>Table1368[[#This Row],[Prix total Achat]]-Table1368[[#This Row],[Prix article]]</f>
        <v>13.661932499999999</v>
      </c>
      <c r="M258" s="135">
        <v>35.6619325</v>
      </c>
      <c r="N258" s="134">
        <v>46174</v>
      </c>
      <c r="O258" s="136">
        <f>(Table1368[[#This Row],[Prix total Achat]]*2)</f>
        <v>71.323865</v>
      </c>
      <c r="P258" s="136">
        <f>Table1368[[#This Row],[Prix Min voulu (x2 )]]*1.2</f>
        <v>85.58863799999999</v>
      </c>
      <c r="Q258" s="134">
        <v>46176</v>
      </c>
      <c r="R258" s="134">
        <v>46175</v>
      </c>
      <c r="S258" s="135">
        <v>109</v>
      </c>
      <c r="T258" s="134" t="s">
        <v>160</v>
      </c>
      <c r="U258" s="134" t="s">
        <v>157</v>
      </c>
      <c r="V258" s="137">
        <f>IF(ISBLANK(Table1368[[#This Row],[Date réception Achat]]),"",IF(ISBLANK(Table1368[[#This Row],[Date revente]]),TODAY(),Table1368[[#This Row],[Date revente]])-Table1368[[#This Row],[Date réception Achat]])</f>
        <v>1</v>
      </c>
      <c r="W25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8" s="135">
        <f>IF(Table1368[[#This Row],[Prix de revente]]="","",Table1368[[#This Row],[Prix de revente]]-Table1368[[#This Row],[Prix total Achat]])</f>
        <v>73.3380675</v>
      </c>
      <c r="Y258" s="138">
        <f>IF(Table1368[[#This Row],[Prix de revente]]="","",(Table1368[[#This Row],[Prix de revente]]/Table1368[[#This Row],[Prix total Achat]]))</f>
        <v>3.0564804641475893</v>
      </c>
      <c r="Z258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58" s="139">
        <f>IF(ISBLANK(Table1368[[#This Row],[Date relisting]]),"",IF(ISBLANK(Table1368[[#This Row],[Date relisting]]),TODAY(),Table1368[[#This Row],[Date relisting]])-Table1368[[#This Row],[Date réception Achat]])</f>
        <v>2</v>
      </c>
      <c r="AB258" s="139">
        <f>IF(ISBLANK(Table1368[[#This Row],[Date revente]]),"",IF(ISBLANK(Table1368[[#This Row],[Date revente]]),TODAY(),Table1368[[#This Row],[Date revente]])-Table1368[[#This Row],[Date relisting]])</f>
        <v>-1</v>
      </c>
      <c r="AC258" s="139">
        <f>IF(ISBLANK(Table1368[[#This Row],[Date revente]]),"",IF(ISBLANK(Table1368[[#This Row],[Date revente]]),TODAY(),Table1368[[#This Row],[Date revente]])-Table1368[[#This Row],[Date réception Achat]])</f>
        <v>1</v>
      </c>
      <c r="AD258" s="139">
        <f>IF(ISBLANK(Table1368[[#This Row],[Date revente]]),"",IF(ISBLANK(Table1368[[#This Row],[Date revente]]),TODAY(),Table1368[[#This Row],[Date revente]])-Table1368[[#This Row],[Date achat]])</f>
        <v>12</v>
      </c>
    </row>
    <row r="259" spans="1:30" x14ac:dyDescent="0.25">
      <c r="A259" s="134">
        <v>46163</v>
      </c>
      <c r="B259" s="148" t="s">
        <v>743</v>
      </c>
      <c r="C259" s="134" t="s">
        <v>744</v>
      </c>
      <c r="D259" s="157" t="s">
        <v>734</v>
      </c>
      <c r="E259" s="157"/>
      <c r="F259" s="157"/>
      <c r="G259" s="147" t="s">
        <v>163</v>
      </c>
      <c r="H259" s="155" t="s">
        <v>178</v>
      </c>
      <c r="I259" s="134" t="s">
        <v>165</v>
      </c>
      <c r="J259" s="134" t="s">
        <v>157</v>
      </c>
      <c r="K259" s="135">
        <v>19.25</v>
      </c>
      <c r="L259" s="135">
        <f>Table1368[[#This Row],[Prix total Achat]]-Table1368[[#This Row],[Prix article]]</f>
        <v>13.661932499999999</v>
      </c>
      <c r="M259" s="135">
        <v>32.9119325</v>
      </c>
      <c r="N259" s="134">
        <v>46174</v>
      </c>
      <c r="O259" s="136">
        <f>(Table1368[[#This Row],[Prix total Achat]]*2)</f>
        <v>65.823865</v>
      </c>
      <c r="P259" s="136">
        <f>Table1368[[#This Row],[Prix Min voulu (x2 )]]*1.2</f>
        <v>78.988638</v>
      </c>
      <c r="Q259" s="134">
        <v>46177</v>
      </c>
      <c r="R259" s="134">
        <v>46201</v>
      </c>
      <c r="S259" s="135">
        <v>79</v>
      </c>
      <c r="T259" s="134" t="s">
        <v>160</v>
      </c>
      <c r="U259" s="134" t="s">
        <v>157</v>
      </c>
      <c r="V259" s="137">
        <f>IF(ISBLANK(Table1368[[#This Row],[Date réception Achat]]),"",IF(ISBLANK(Table1368[[#This Row],[Date revente]]),TODAY(),Table1368[[#This Row],[Date revente]])-Table1368[[#This Row],[Date réception Achat]])</f>
        <v>27</v>
      </c>
      <c r="W25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59" s="135">
        <f>IF(Table1368[[#This Row],[Prix de revente]]="","",Table1368[[#This Row],[Prix de revente]]-Table1368[[#This Row],[Prix total Achat]])</f>
        <v>46.0880675</v>
      </c>
      <c r="Y259" s="138">
        <f>IF(Table1368[[#This Row],[Prix de revente]]="","",(Table1368[[#This Row],[Prix de revente]]/Table1368[[#This Row],[Prix total Achat]]))</f>
        <v>2.4003452243346697</v>
      </c>
      <c r="Z259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59" s="139">
        <f>IF(ISBLANK(Table1368[[#This Row],[Date relisting]]),"",IF(ISBLANK(Table1368[[#This Row],[Date relisting]]),TODAY(),Table1368[[#This Row],[Date relisting]])-Table1368[[#This Row],[Date réception Achat]])</f>
        <v>3</v>
      </c>
      <c r="AB259" s="139">
        <f>IF(ISBLANK(Table1368[[#This Row],[Date revente]]),"",IF(ISBLANK(Table1368[[#This Row],[Date revente]]),TODAY(),Table1368[[#This Row],[Date revente]])-Table1368[[#This Row],[Date relisting]])</f>
        <v>24</v>
      </c>
      <c r="AC259" s="139">
        <f>IF(ISBLANK(Table1368[[#This Row],[Date revente]]),"",IF(ISBLANK(Table1368[[#This Row],[Date revente]]),TODAY(),Table1368[[#This Row],[Date revente]])-Table1368[[#This Row],[Date réception Achat]])</f>
        <v>27</v>
      </c>
      <c r="AD259" s="139">
        <f>IF(ISBLANK(Table1368[[#This Row],[Date revente]]),"",IF(ISBLANK(Table1368[[#This Row],[Date revente]]),TODAY(),Table1368[[#This Row],[Date revente]])-Table1368[[#This Row],[Date achat]])</f>
        <v>38</v>
      </c>
    </row>
    <row r="260" spans="1:30" x14ac:dyDescent="0.25">
      <c r="A260" s="134">
        <v>46163</v>
      </c>
      <c r="B260" s="148" t="s">
        <v>745</v>
      </c>
      <c r="C260" s="134" t="s">
        <v>746</v>
      </c>
      <c r="D260" s="157" t="s">
        <v>734</v>
      </c>
      <c r="E260" s="157"/>
      <c r="F260" s="157"/>
      <c r="G260" s="147" t="s">
        <v>163</v>
      </c>
      <c r="H260" s="155" t="s">
        <v>178</v>
      </c>
      <c r="I260" s="134" t="s">
        <v>165</v>
      </c>
      <c r="J260" s="134" t="s">
        <v>157</v>
      </c>
      <c r="K260" s="135">
        <v>9.899999999999999</v>
      </c>
      <c r="L260" s="135">
        <f>Table1368[[#This Row],[Prix total Achat]]-Table1368[[#This Row],[Prix article]]</f>
        <v>13.661932499999999</v>
      </c>
      <c r="M260" s="135">
        <v>23.561932499999998</v>
      </c>
      <c r="N260" s="134">
        <v>46174</v>
      </c>
      <c r="O260" s="136">
        <f>(Table1368[[#This Row],[Prix total Achat]]*2)</f>
        <v>47.123864999999995</v>
      </c>
      <c r="P260" s="136">
        <f>Table1368[[#This Row],[Prix Min voulu (x2 )]]*1.2</f>
        <v>56.54863799999999</v>
      </c>
      <c r="Q260" s="134">
        <v>46178</v>
      </c>
      <c r="R260" s="134">
        <v>46211</v>
      </c>
      <c r="S260" s="135">
        <v>55</v>
      </c>
      <c r="T260" s="134" t="s">
        <v>160</v>
      </c>
      <c r="U260" s="134" t="s">
        <v>189</v>
      </c>
      <c r="V260" s="137">
        <f>IF(ISBLANK(Table1368[[#This Row],[Date réception Achat]]),"",IF(ISBLANK(Table1368[[#This Row],[Date revente]]),TODAY(),Table1368[[#This Row],[Date revente]])-Table1368[[#This Row],[Date réception Achat]])</f>
        <v>37</v>
      </c>
      <c r="W26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60" s="135">
        <f>IF(Table1368[[#This Row],[Prix de revente]]="","",Table1368[[#This Row],[Prix de revente]]-Table1368[[#This Row],[Prix total Achat]])</f>
        <v>31.438067500000002</v>
      </c>
      <c r="Y260" s="138">
        <f>IF(Table1368[[#This Row],[Prix de revente]]="","",(Table1368[[#This Row],[Prix de revente]]/Table1368[[#This Row],[Prix total Achat]]))</f>
        <v>2.334273727335396</v>
      </c>
      <c r="Z260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60" s="139">
        <f>IF(ISBLANK(Table1368[[#This Row],[Date relisting]]),"",IF(ISBLANK(Table1368[[#This Row],[Date relisting]]),TODAY(),Table1368[[#This Row],[Date relisting]])-Table1368[[#This Row],[Date réception Achat]])</f>
        <v>4</v>
      </c>
      <c r="AB260" s="139">
        <f>IF(ISBLANK(Table1368[[#This Row],[Date revente]]),"",IF(ISBLANK(Table1368[[#This Row],[Date revente]]),TODAY(),Table1368[[#This Row],[Date revente]])-Table1368[[#This Row],[Date relisting]])</f>
        <v>33</v>
      </c>
      <c r="AC260" s="139">
        <f>IF(ISBLANK(Table1368[[#This Row],[Date revente]]),"",IF(ISBLANK(Table1368[[#This Row],[Date revente]]),TODAY(),Table1368[[#This Row],[Date revente]])-Table1368[[#This Row],[Date réception Achat]])</f>
        <v>37</v>
      </c>
      <c r="AD260" s="139">
        <f>IF(ISBLANK(Table1368[[#This Row],[Date revente]]),"",IF(ISBLANK(Table1368[[#This Row],[Date revente]]),TODAY(),Table1368[[#This Row],[Date revente]])-Table1368[[#This Row],[Date achat]])</f>
        <v>48</v>
      </c>
    </row>
    <row r="261" spans="1:30" x14ac:dyDescent="0.25">
      <c r="A261" s="134">
        <v>46163</v>
      </c>
      <c r="B261" s="146" t="s">
        <v>747</v>
      </c>
      <c r="C261" s="134" t="s">
        <v>748</v>
      </c>
      <c r="D261" s="157" t="s">
        <v>749</v>
      </c>
      <c r="E261" s="158">
        <v>560</v>
      </c>
      <c r="F261" s="157" t="s">
        <v>356</v>
      </c>
      <c r="G261" s="147" t="s">
        <v>177</v>
      </c>
      <c r="H261" s="155" t="s">
        <v>178</v>
      </c>
      <c r="I261" s="134" t="s">
        <v>165</v>
      </c>
      <c r="J261" s="134" t="s">
        <v>157</v>
      </c>
      <c r="K261" s="135">
        <v>38.39</v>
      </c>
      <c r="L261" s="135">
        <f>Table1368[[#This Row],[Prix total Achat]]-Table1368[[#This Row],[Prix article]]</f>
        <v>17.795455999999994</v>
      </c>
      <c r="M261" s="135">
        <v>56.185455999999995</v>
      </c>
      <c r="N261" s="134">
        <v>46241</v>
      </c>
      <c r="O261" s="136">
        <f>(Table1368[[#This Row],[Prix total Achat]]*2)</f>
        <v>112.37091199999999</v>
      </c>
      <c r="P261" s="136">
        <f>Table1368[[#This Row],[Prix Min voulu (x2 )]]*1.2</f>
        <v>134.8450944</v>
      </c>
      <c r="Q261" s="134">
        <v>46283</v>
      </c>
      <c r="R261" s="134">
        <v>46285</v>
      </c>
      <c r="S261" s="135">
        <v>160</v>
      </c>
      <c r="T261" s="134" t="s">
        <v>160</v>
      </c>
      <c r="U261" s="134" t="s">
        <v>157</v>
      </c>
      <c r="V261" s="137">
        <f>IF(ISBLANK(Table1368[[#This Row],[Date réception Achat]]),"",IF(ISBLANK(Table1368[[#This Row],[Date revente]]),TODAY(),Table1368[[#This Row],[Date revente]])-Table1368[[#This Row],[Date réception Achat]])</f>
        <v>44</v>
      </c>
      <c r="W26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61" s="135">
        <f>IF(Table1368[[#This Row],[Prix de revente]]="","",Table1368[[#This Row],[Prix de revente]]-Table1368[[#This Row],[Prix total Achat]])</f>
        <v>103.81454400000001</v>
      </c>
      <c r="Y261" s="138">
        <f>IF(Table1368[[#This Row],[Prix de revente]]="","",(Table1368[[#This Row],[Prix de revente]]/Table1368[[#This Row],[Prix total Achat]]))</f>
        <v>2.8477120484703375</v>
      </c>
      <c r="Z261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261" s="139">
        <f>IF(ISBLANK(Table1368[[#This Row],[Date relisting]]),"",IF(ISBLANK(Table1368[[#This Row],[Date relisting]]),TODAY(),Table1368[[#This Row],[Date relisting]])-Table1368[[#This Row],[Date réception Achat]])</f>
        <v>42</v>
      </c>
      <c r="AB261" s="139">
        <f>IF(ISBLANK(Table1368[[#This Row],[Date revente]]),"",IF(ISBLANK(Table1368[[#This Row],[Date revente]]),TODAY(),Table1368[[#This Row],[Date revente]])-Table1368[[#This Row],[Date relisting]])</f>
        <v>2</v>
      </c>
      <c r="AC261" s="139">
        <f>IF(ISBLANK(Table1368[[#This Row],[Date revente]]),"",IF(ISBLANK(Table1368[[#This Row],[Date revente]]),TODAY(),Table1368[[#This Row],[Date revente]])-Table1368[[#This Row],[Date réception Achat]])</f>
        <v>44</v>
      </c>
      <c r="AD261" s="139">
        <f>IF(ISBLANK(Table1368[[#This Row],[Date revente]]),"",IF(ISBLANK(Table1368[[#This Row],[Date revente]]),TODAY(),Table1368[[#This Row],[Date revente]])-Table1368[[#This Row],[Date achat]])</f>
        <v>122</v>
      </c>
    </row>
    <row r="262" spans="1:30" x14ac:dyDescent="0.25">
      <c r="A262" s="134">
        <v>46163</v>
      </c>
      <c r="B262" s="146" t="s">
        <v>750</v>
      </c>
      <c r="C262" s="134" t="s">
        <v>751</v>
      </c>
      <c r="D262" s="157" t="s">
        <v>749</v>
      </c>
      <c r="E262" s="158">
        <v>622</v>
      </c>
      <c r="F262" s="157" t="s">
        <v>752</v>
      </c>
      <c r="G262" s="147" t="s">
        <v>386</v>
      </c>
      <c r="H262" s="155" t="s">
        <v>174</v>
      </c>
      <c r="I262" s="134" t="s">
        <v>165</v>
      </c>
      <c r="J262" s="134" t="s">
        <v>157</v>
      </c>
      <c r="K262" s="135">
        <v>20.9</v>
      </c>
      <c r="L262" s="135">
        <f>Table1368[[#This Row],[Prix total Achat]]-Table1368[[#This Row],[Prix article]]</f>
        <v>17.795455999999994</v>
      </c>
      <c r="M262" s="135">
        <v>38.69545599999999</v>
      </c>
      <c r="N262" s="134">
        <v>46241</v>
      </c>
      <c r="O262" s="136">
        <f>(Table1368[[#This Row],[Prix total Achat]]*2)</f>
        <v>77.39091199999999</v>
      </c>
      <c r="P262" s="136">
        <f>Table1368[[#This Row],[Prix Min voulu (x2 )]]*1.2</f>
        <v>92.86909439999998</v>
      </c>
      <c r="Q262" s="134">
        <v>46283</v>
      </c>
      <c r="R262" s="134"/>
      <c r="S262" s="135"/>
      <c r="T262" s="134"/>
      <c r="U262" s="134" t="s">
        <v>157</v>
      </c>
      <c r="V262" s="137">
        <f>IF(ISBLANK(Table1368[[#This Row],[Date réception Achat]]),"",IF(ISBLANK(Table1368[[#This Row],[Date revente]]),TODAY(),Table1368[[#This Row],[Date revente]])-Table1368[[#This Row],[Date réception Achat]])</f>
        <v>62</v>
      </c>
      <c r="W26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62" s="135">
        <f>IF(Table1368[[#This Row],[Prix de revente]]="","",Table1368[[#This Row],[Prix de revente]]-Table1368[[#This Row],[Prix total Achat]])</f>
      </c>
      <c r="Y262" s="138">
        <f>IF(Table1368[[#This Row],[Prix de revente]]="","",(Table1368[[#This Row],[Prix de revente]]/Table1368[[#This Row],[Prix total Achat]]))</f>
      </c>
      <c r="Z262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262" s="139">
        <f>IF(ISBLANK(Table1368[[#This Row],[Date relisting]]),"",IF(ISBLANK(Table1368[[#This Row],[Date relisting]]),TODAY(),Table1368[[#This Row],[Date relisting]])-Table1368[[#This Row],[Date réception Achat]])</f>
        <v>42</v>
      </c>
      <c r="AB262" s="139">
        <f>IF(ISBLANK(Table1368[[#This Row],[Date revente]]),"",IF(ISBLANK(Table1368[[#This Row],[Date revente]]),TODAY(),Table1368[[#This Row],[Date revente]])-Table1368[[#This Row],[Date relisting]])</f>
      </c>
      <c r="AC262" s="139">
        <f>IF(ISBLANK(Table1368[[#This Row],[Date revente]]),"",IF(ISBLANK(Table1368[[#This Row],[Date revente]]),TODAY(),Table1368[[#This Row],[Date revente]])-Table1368[[#This Row],[Date réception Achat]])</f>
      </c>
      <c r="AD262" s="139">
        <f>IF(ISBLANK(Table1368[[#This Row],[Date revente]]),"",IF(ISBLANK(Table1368[[#This Row],[Date revente]]),TODAY(),Table1368[[#This Row],[Date revente]])-Table1368[[#This Row],[Date achat]])</f>
      </c>
    </row>
    <row r="263" spans="1:30" x14ac:dyDescent="0.25">
      <c r="A263" s="134">
        <v>46163</v>
      </c>
      <c r="B263" s="146" t="s">
        <v>753</v>
      </c>
      <c r="C263" s="134" t="s">
        <v>754</v>
      </c>
      <c r="D263" s="157" t="s">
        <v>749</v>
      </c>
      <c r="E263" s="158">
        <v>612</v>
      </c>
      <c r="F263" s="157" t="s">
        <v>755</v>
      </c>
      <c r="G263" s="147" t="s">
        <v>756</v>
      </c>
      <c r="H263" s="155" t="s">
        <v>330</v>
      </c>
      <c r="I263" s="134" t="s">
        <v>165</v>
      </c>
      <c r="J263" s="134" t="s">
        <v>157</v>
      </c>
      <c r="K263" s="135">
        <v>27.5</v>
      </c>
      <c r="L263" s="135">
        <f>Table1368[[#This Row],[Prix total Achat]]-Table1368[[#This Row],[Prix article]]</f>
        <v>17.795455999999994</v>
      </c>
      <c r="M263" s="135">
        <v>45.295455999999994</v>
      </c>
      <c r="N263" s="134">
        <v>46241</v>
      </c>
      <c r="O263" s="136">
        <f>(Table1368[[#This Row],[Prix total Achat]]*2)</f>
        <v>90.59091199999999</v>
      </c>
      <c r="P263" s="136">
        <f>Table1368[[#This Row],[Prix Min voulu (x2 )]]*1.2</f>
        <v>108.70909439999998</v>
      </c>
      <c r="Q263" s="134">
        <v>46284</v>
      </c>
      <c r="R263" s="134">
        <v>46301</v>
      </c>
      <c r="S263" s="135">
        <v>105</v>
      </c>
      <c r="T263" s="134" t="s">
        <v>160</v>
      </c>
      <c r="U263" s="134" t="s">
        <v>157</v>
      </c>
      <c r="V263" s="137">
        <f>IF(ISBLANK(Table1368[[#This Row],[Date réception Achat]]),"",IF(ISBLANK(Table1368[[#This Row],[Date revente]]),TODAY(),Table1368[[#This Row],[Date revente]])-Table1368[[#This Row],[Date réception Achat]])</f>
        <v>60</v>
      </c>
      <c r="W26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63" s="135">
        <f>IF(Table1368[[#This Row],[Prix de revente]]="","",Table1368[[#This Row],[Prix de revente]]-Table1368[[#This Row],[Prix total Achat]])</f>
        <v>59.704544000000006</v>
      </c>
      <c r="Y263" s="138">
        <f>IF(Table1368[[#This Row],[Prix de revente]]="","",(Table1368[[#This Row],[Prix de revente]]/Table1368[[#This Row],[Prix total Achat]]))</f>
        <v>2.318113322448945</v>
      </c>
      <c r="Z263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263" s="139">
        <f>IF(ISBLANK(Table1368[[#This Row],[Date relisting]]),"",IF(ISBLANK(Table1368[[#This Row],[Date relisting]]),TODAY(),Table1368[[#This Row],[Date relisting]])-Table1368[[#This Row],[Date réception Achat]])</f>
        <v>43</v>
      </c>
      <c r="AB263" s="139">
        <f>IF(ISBLANK(Table1368[[#This Row],[Date revente]]),"",IF(ISBLANK(Table1368[[#This Row],[Date revente]]),TODAY(),Table1368[[#This Row],[Date revente]])-Table1368[[#This Row],[Date relisting]])</f>
        <v>17</v>
      </c>
      <c r="AC263" s="139">
        <f>IF(ISBLANK(Table1368[[#This Row],[Date revente]]),"",IF(ISBLANK(Table1368[[#This Row],[Date revente]]),TODAY(),Table1368[[#This Row],[Date revente]])-Table1368[[#This Row],[Date réception Achat]])</f>
        <v>60</v>
      </c>
      <c r="AD263" s="139">
        <f>IF(ISBLANK(Table1368[[#This Row],[Date revente]]),"",IF(ISBLANK(Table1368[[#This Row],[Date revente]]),TODAY(),Table1368[[#This Row],[Date revente]])-Table1368[[#This Row],[Date achat]])</f>
        <v>138</v>
      </c>
    </row>
    <row r="264" spans="1:30" x14ac:dyDescent="0.25">
      <c r="A264" s="134">
        <v>46163</v>
      </c>
      <c r="B264" s="146" t="s">
        <v>757</v>
      </c>
      <c r="C264" s="134" t="s">
        <v>758</v>
      </c>
      <c r="D264" s="157" t="s">
        <v>749</v>
      </c>
      <c r="E264" s="158">
        <v>674</v>
      </c>
      <c r="F264" s="157" t="s">
        <v>309</v>
      </c>
      <c r="G264" s="147" t="s">
        <v>759</v>
      </c>
      <c r="H264" s="155" t="s">
        <v>287</v>
      </c>
      <c r="I264" s="134" t="s">
        <v>165</v>
      </c>
      <c r="J264" s="134" t="s">
        <v>157</v>
      </c>
      <c r="K264" s="135">
        <v>23.65</v>
      </c>
      <c r="L264" s="135">
        <f>Table1368[[#This Row],[Prix total Achat]]-Table1368[[#This Row],[Prix article]]</f>
        <v>17.795455999999994</v>
      </c>
      <c r="M264" s="135">
        <v>41.44545599999999</v>
      </c>
      <c r="N264" s="134">
        <v>46241</v>
      </c>
      <c r="O264" s="136">
        <f>(Table1368[[#This Row],[Prix total Achat]]*2)</f>
        <v>82.89091199999999</v>
      </c>
      <c r="P264" s="136">
        <f>Table1368[[#This Row],[Prix Min voulu (x2 )]]*1.2</f>
        <v>99.46909439999997</v>
      </c>
      <c r="Q264" s="134">
        <v>46284</v>
      </c>
      <c r="R264" s="134">
        <v>46289</v>
      </c>
      <c r="S264" s="135">
        <v>120</v>
      </c>
      <c r="T264" s="134" t="s">
        <v>160</v>
      </c>
      <c r="U264" s="134" t="s">
        <v>157</v>
      </c>
      <c r="V264" s="137">
        <f>IF(ISBLANK(Table1368[[#This Row],[Date réception Achat]]),"",IF(ISBLANK(Table1368[[#This Row],[Date revente]]),TODAY(),Table1368[[#This Row],[Date revente]])-Table1368[[#This Row],[Date réception Achat]])</f>
        <v>48</v>
      </c>
      <c r="W26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64" s="135">
        <f>IF(Table1368[[#This Row],[Prix de revente]]="","",Table1368[[#This Row],[Prix de revente]]-Table1368[[#This Row],[Prix total Achat]])</f>
        <v>78.554544</v>
      </c>
      <c r="Y264" s="138">
        <f>IF(Table1368[[#This Row],[Prix de revente]]="","",(Table1368[[#This Row],[Prix de revente]]/Table1368[[#This Row],[Prix total Achat]]))</f>
        <v>2.8953716904453897</v>
      </c>
      <c r="Z264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264" s="139">
        <f>IF(ISBLANK(Table1368[[#This Row],[Date relisting]]),"",IF(ISBLANK(Table1368[[#This Row],[Date relisting]]),TODAY(),Table1368[[#This Row],[Date relisting]])-Table1368[[#This Row],[Date réception Achat]])</f>
        <v>43</v>
      </c>
      <c r="AB264" s="139">
        <f>IF(ISBLANK(Table1368[[#This Row],[Date revente]]),"",IF(ISBLANK(Table1368[[#This Row],[Date revente]]),TODAY(),Table1368[[#This Row],[Date revente]])-Table1368[[#This Row],[Date relisting]])</f>
        <v>5</v>
      </c>
      <c r="AC264" s="139">
        <f>IF(ISBLANK(Table1368[[#This Row],[Date revente]]),"",IF(ISBLANK(Table1368[[#This Row],[Date revente]]),TODAY(),Table1368[[#This Row],[Date revente]])-Table1368[[#This Row],[Date réception Achat]])</f>
        <v>48</v>
      </c>
      <c r="AD264" s="139">
        <f>IF(ISBLANK(Table1368[[#This Row],[Date revente]]),"",IF(ISBLANK(Table1368[[#This Row],[Date revente]]),TODAY(),Table1368[[#This Row],[Date revente]])-Table1368[[#This Row],[Date achat]])</f>
        <v>126</v>
      </c>
    </row>
    <row r="265" spans="1:30" x14ac:dyDescent="0.25">
      <c r="A265" s="134">
        <v>46163</v>
      </c>
      <c r="B265" s="148" t="s">
        <v>760</v>
      </c>
      <c r="C265" s="134" t="s">
        <v>761</v>
      </c>
      <c r="D265" s="157" t="s">
        <v>749</v>
      </c>
      <c r="E265" s="158">
        <v>854</v>
      </c>
      <c r="F265" s="157" t="s">
        <v>309</v>
      </c>
      <c r="G265" s="147" t="s">
        <v>392</v>
      </c>
      <c r="H265" s="155" t="s">
        <v>279</v>
      </c>
      <c r="I265" s="134" t="s">
        <v>165</v>
      </c>
      <c r="J265" s="134" t="s">
        <v>157</v>
      </c>
      <c r="K265" s="135">
        <v>38.5</v>
      </c>
      <c r="L265" s="135">
        <f>Table1368[[#This Row],[Prix total Achat]]-Table1368[[#This Row],[Prix article]]</f>
        <v>17.795455999999994</v>
      </c>
      <c r="M265" s="135">
        <v>56.295455999999994</v>
      </c>
      <c r="N265" s="134">
        <v>46241</v>
      </c>
      <c r="O265" s="136">
        <f>(Table1368[[#This Row],[Prix total Achat]]*2)</f>
        <v>112.59091199999999</v>
      </c>
      <c r="P265" s="136">
        <f>Table1368[[#This Row],[Prix Min voulu (x2 )]]*1.2</f>
        <v>135.10909439999998</v>
      </c>
      <c r="Q265" s="134">
        <v>46283</v>
      </c>
      <c r="R265" s="134"/>
      <c r="S265" s="135"/>
      <c r="T265" s="134"/>
      <c r="U265" s="134" t="s">
        <v>157</v>
      </c>
      <c r="V265" s="137">
        <f>IF(ISBLANK(Table1368[[#This Row],[Date réception Achat]]),"",IF(ISBLANK(Table1368[[#This Row],[Date revente]]),TODAY(),Table1368[[#This Row],[Date revente]])-Table1368[[#This Row],[Date réception Achat]])</f>
        <v>62</v>
      </c>
      <c r="W26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65" s="135">
        <f>IF(Table1368[[#This Row],[Prix de revente]]="","",Table1368[[#This Row],[Prix de revente]]-Table1368[[#This Row],[Prix total Achat]])</f>
      </c>
      <c r="Y265" s="138">
        <f>IF(Table1368[[#This Row],[Prix de revente]]="","",(Table1368[[#This Row],[Prix de revente]]/Table1368[[#This Row],[Prix total Achat]]))</f>
      </c>
      <c r="Z265" s="139">
        <f>IF(ISBLANK(Table1368[[#This Row],[Date réception Achat]]),"",IF(ISBLANK(Table1368[[#This Row],[Date réception Achat]]),TODAY(),Table1368[[#This Row],[Date réception Achat]])-Table1368[[#This Row],[Date achat]])</f>
        <v>78</v>
      </c>
      <c r="AA265" s="139">
        <f>IF(ISBLANK(Table1368[[#This Row],[Date relisting]]),"",IF(ISBLANK(Table1368[[#This Row],[Date relisting]]),TODAY(),Table1368[[#This Row],[Date relisting]])-Table1368[[#This Row],[Date réception Achat]])</f>
        <v>42</v>
      </c>
      <c r="AB265" s="139">
        <f>IF(ISBLANK(Table1368[[#This Row],[Date revente]]),"",IF(ISBLANK(Table1368[[#This Row],[Date revente]]),TODAY(),Table1368[[#This Row],[Date revente]])-Table1368[[#This Row],[Date relisting]])</f>
      </c>
      <c r="AC265" s="139">
        <f>IF(ISBLANK(Table1368[[#This Row],[Date revente]]),"",IF(ISBLANK(Table1368[[#This Row],[Date revente]]),TODAY(),Table1368[[#This Row],[Date revente]])-Table1368[[#This Row],[Date réception Achat]])</f>
      </c>
      <c r="AD265" s="139">
        <f>IF(ISBLANK(Table1368[[#This Row],[Date revente]]),"",IF(ISBLANK(Table1368[[#This Row],[Date revente]]),TODAY(),Table1368[[#This Row],[Date revente]])-Table1368[[#This Row],[Date achat]])</f>
      </c>
    </row>
    <row r="266" spans="1:30" x14ac:dyDescent="0.25">
      <c r="A266" s="134">
        <v>46164</v>
      </c>
      <c r="B266" s="146" t="s">
        <v>762</v>
      </c>
      <c r="C266" s="134" t="s">
        <v>763</v>
      </c>
      <c r="D266" s="157" t="s">
        <v>764</v>
      </c>
      <c r="E266" s="158">
        <v>286</v>
      </c>
      <c r="F266" s="157" t="s">
        <v>765</v>
      </c>
      <c r="G266" s="147" t="s">
        <v>392</v>
      </c>
      <c r="H266" s="155" t="s">
        <v>174</v>
      </c>
      <c r="I266" s="134" t="s">
        <v>165</v>
      </c>
      <c r="J266" s="134" t="s">
        <v>157</v>
      </c>
      <c r="K266" s="135">
        <v>19.25</v>
      </c>
      <c r="L266" s="135">
        <f>Table1368[[#This Row],[Prix total Achat]]-Table1368[[#This Row],[Prix article]]</f>
        <v>15.908262857142859</v>
      </c>
      <c r="M266" s="135">
        <v>35.15826285714286</v>
      </c>
      <c r="N266" s="134">
        <v>46251</v>
      </c>
      <c r="O266" s="136">
        <f>(Table1368[[#This Row],[Prix total Achat]]*2)</f>
        <v>70.31652571428572</v>
      </c>
      <c r="P266" s="136">
        <f>Table1368[[#This Row],[Prix Min voulu (x2 )]]*1.2</f>
        <v>84.37983085714286</v>
      </c>
      <c r="Q266" s="134">
        <v>46283</v>
      </c>
      <c r="R266" s="134"/>
      <c r="S266" s="135"/>
      <c r="T266" s="134"/>
      <c r="U266" s="134" t="s">
        <v>157</v>
      </c>
      <c r="V266" s="137">
        <f>IF(ISBLANK(Table1368[[#This Row],[Date réception Achat]]),"",IF(ISBLANK(Table1368[[#This Row],[Date revente]]),TODAY(),Table1368[[#This Row],[Date revente]])-Table1368[[#This Row],[Date réception Achat]])</f>
        <v>52</v>
      </c>
      <c r="W26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66" s="135">
        <f>IF(Table1368[[#This Row],[Prix de revente]]="","",Table1368[[#This Row],[Prix de revente]]-Table1368[[#This Row],[Prix total Achat]])</f>
      </c>
      <c r="Y266" s="138">
        <f>IF(Table1368[[#This Row],[Prix de revente]]="","",(Table1368[[#This Row],[Prix de revente]]/Table1368[[#This Row],[Prix total Achat]]))</f>
      </c>
      <c r="Z266" s="139">
        <f>IF(ISBLANK(Table1368[[#This Row],[Date réception Achat]]),"",IF(ISBLANK(Table1368[[#This Row],[Date réception Achat]]),TODAY(),Table1368[[#This Row],[Date réception Achat]])-Table1368[[#This Row],[Date achat]])</f>
        <v>87</v>
      </c>
      <c r="AA266" s="139">
        <f>IF(ISBLANK(Table1368[[#This Row],[Date relisting]]),"",IF(ISBLANK(Table1368[[#This Row],[Date relisting]]),TODAY(),Table1368[[#This Row],[Date relisting]])-Table1368[[#This Row],[Date réception Achat]])</f>
        <v>32</v>
      </c>
      <c r="AB266" s="139">
        <f>IF(ISBLANK(Table1368[[#This Row],[Date revente]]),"",IF(ISBLANK(Table1368[[#This Row],[Date revente]]),TODAY(),Table1368[[#This Row],[Date revente]])-Table1368[[#This Row],[Date relisting]])</f>
      </c>
      <c r="AC266" s="139">
        <f>IF(ISBLANK(Table1368[[#This Row],[Date revente]]),"",IF(ISBLANK(Table1368[[#This Row],[Date revente]]),TODAY(),Table1368[[#This Row],[Date revente]])-Table1368[[#This Row],[Date réception Achat]])</f>
      </c>
      <c r="AD266" s="139">
        <f>IF(ISBLANK(Table1368[[#This Row],[Date revente]]),"",IF(ISBLANK(Table1368[[#This Row],[Date revente]]),TODAY(),Table1368[[#This Row],[Date revente]])-Table1368[[#This Row],[Date achat]])</f>
      </c>
    </row>
    <row r="267" spans="1:30" x14ac:dyDescent="0.25">
      <c r="A267" s="134">
        <v>46164</v>
      </c>
      <c r="B267" s="146" t="s">
        <v>766</v>
      </c>
      <c r="C267" s="134" t="s">
        <v>767</v>
      </c>
      <c r="D267" s="157" t="s">
        <v>764</v>
      </c>
      <c r="E267" s="158">
        <v>460</v>
      </c>
      <c r="F267" s="157" t="s">
        <v>755</v>
      </c>
      <c r="G267" s="147" t="s">
        <v>163</v>
      </c>
      <c r="H267" s="155" t="s">
        <v>174</v>
      </c>
      <c r="I267" s="134" t="s">
        <v>165</v>
      </c>
      <c r="J267" s="134" t="s">
        <v>157</v>
      </c>
      <c r="K267" s="135">
        <v>3.8499999999999996</v>
      </c>
      <c r="L267" s="135">
        <f>Table1368[[#This Row],[Prix total Achat]]-Table1368[[#This Row],[Prix article]]</f>
        <v>15.908262857142853</v>
      </c>
      <c r="M267" s="135">
        <v>19.758262857142853</v>
      </c>
      <c r="N267" s="134">
        <v>46251</v>
      </c>
      <c r="O267" s="136">
        <f>(Table1368[[#This Row],[Prix total Achat]]*2)</f>
        <v>39.516525714285706</v>
      </c>
      <c r="P267" s="136">
        <f>Table1368[[#This Row],[Prix Min voulu (x2 )]]*1.2</f>
        <v>47.41983085714285</v>
      </c>
      <c r="Q267" s="134">
        <v>46284</v>
      </c>
      <c r="R267" s="134">
        <v>46285</v>
      </c>
      <c r="S267" s="135">
        <v>88.09</v>
      </c>
      <c r="T267" s="134" t="s">
        <v>189</v>
      </c>
      <c r="U267" s="134" t="s">
        <v>157</v>
      </c>
      <c r="V267" s="137">
        <f>IF(ISBLANK(Table1368[[#This Row],[Date réception Achat]]),"",IF(ISBLANK(Table1368[[#This Row],[Date revente]]),TODAY(),Table1368[[#This Row],[Date revente]])-Table1368[[#This Row],[Date réception Achat]])</f>
        <v>34</v>
      </c>
      <c r="W26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67" s="135">
        <f>IF(Table1368[[#This Row],[Prix de revente]]="","",Table1368[[#This Row],[Prix de revente]]-Table1368[[#This Row],[Prix total Achat]])</f>
        <v>68.33173714285715</v>
      </c>
      <c r="Y267" s="138">
        <f>IF(Table1368[[#This Row],[Prix de revente]]="","",(Table1368[[#This Row],[Prix de revente]]/Table1368[[#This Row],[Prix total Achat]]))</f>
        <v>4.458387897605806</v>
      </c>
      <c r="Z267" s="139">
        <f>IF(ISBLANK(Table1368[[#This Row],[Date réception Achat]]),"",IF(ISBLANK(Table1368[[#This Row],[Date réception Achat]]),TODAY(),Table1368[[#This Row],[Date réception Achat]])-Table1368[[#This Row],[Date achat]])</f>
        <v>87</v>
      </c>
      <c r="AA267" s="139">
        <f>IF(ISBLANK(Table1368[[#This Row],[Date relisting]]),"",IF(ISBLANK(Table1368[[#This Row],[Date relisting]]),TODAY(),Table1368[[#This Row],[Date relisting]])-Table1368[[#This Row],[Date réception Achat]])</f>
        <v>33</v>
      </c>
      <c r="AB267" s="139">
        <f>IF(ISBLANK(Table1368[[#This Row],[Date revente]]),"",IF(ISBLANK(Table1368[[#This Row],[Date revente]]),TODAY(),Table1368[[#This Row],[Date revente]])-Table1368[[#This Row],[Date relisting]])</f>
        <v>1</v>
      </c>
      <c r="AC267" s="139">
        <f>IF(ISBLANK(Table1368[[#This Row],[Date revente]]),"",IF(ISBLANK(Table1368[[#This Row],[Date revente]]),TODAY(),Table1368[[#This Row],[Date revente]])-Table1368[[#This Row],[Date réception Achat]])</f>
        <v>34</v>
      </c>
      <c r="AD267" s="139">
        <f>IF(ISBLANK(Table1368[[#This Row],[Date revente]]),"",IF(ISBLANK(Table1368[[#This Row],[Date revente]]),TODAY(),Table1368[[#This Row],[Date revente]])-Table1368[[#This Row],[Date achat]])</f>
        <v>121</v>
      </c>
    </row>
    <row r="268" spans="1:30" x14ac:dyDescent="0.25">
      <c r="A268" s="134">
        <v>46164</v>
      </c>
      <c r="B268" s="146" t="s">
        <v>768</v>
      </c>
      <c r="C268" s="134" t="s">
        <v>769</v>
      </c>
      <c r="D268" s="157" t="s">
        <v>764</v>
      </c>
      <c r="E268" s="158">
        <v>860</v>
      </c>
      <c r="F268" s="157" t="s">
        <v>752</v>
      </c>
      <c r="G268" s="147" t="s">
        <v>682</v>
      </c>
      <c r="H268" s="155" t="s">
        <v>164</v>
      </c>
      <c r="I268" s="134" t="s">
        <v>165</v>
      </c>
      <c r="J268" s="134" t="s">
        <v>157</v>
      </c>
      <c r="K268" s="135">
        <v>13.75</v>
      </c>
      <c r="L268" s="135">
        <f>Table1368[[#This Row],[Prix total Achat]]-Table1368[[#This Row],[Prix article]]</f>
        <v>15.908262857142855</v>
      </c>
      <c r="M268" s="135">
        <v>29.658262857142855</v>
      </c>
      <c r="N268" s="134">
        <v>46251</v>
      </c>
      <c r="O268" s="136">
        <f>(Table1368[[#This Row],[Prix total Achat]]*2)</f>
        <v>59.31652571428571</v>
      </c>
      <c r="P268" s="136">
        <f>Table1368[[#This Row],[Prix Min voulu (x2 )]]*1.2</f>
        <v>71.17983085714285</v>
      </c>
      <c r="Q268" s="134">
        <v>46284</v>
      </c>
      <c r="R268" s="134"/>
      <c r="S268" s="135"/>
      <c r="T268" s="134"/>
      <c r="U268" s="134" t="s">
        <v>157</v>
      </c>
      <c r="V268" s="137">
        <f>IF(ISBLANK(Table1368[[#This Row],[Date réception Achat]]),"",IF(ISBLANK(Table1368[[#This Row],[Date revente]]),TODAY(),Table1368[[#This Row],[Date revente]])-Table1368[[#This Row],[Date réception Achat]])</f>
        <v>52</v>
      </c>
      <c r="W26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68" s="135">
        <f>IF(Table1368[[#This Row],[Prix de revente]]="","",Table1368[[#This Row],[Prix de revente]]-Table1368[[#This Row],[Prix total Achat]])</f>
      </c>
      <c r="Y268" s="138">
        <f>IF(Table1368[[#This Row],[Prix de revente]]="","",(Table1368[[#This Row],[Prix de revente]]/Table1368[[#This Row],[Prix total Achat]]))</f>
      </c>
      <c r="Z268" s="139">
        <f>IF(ISBLANK(Table1368[[#This Row],[Date réception Achat]]),"",IF(ISBLANK(Table1368[[#This Row],[Date réception Achat]]),TODAY(),Table1368[[#This Row],[Date réception Achat]])-Table1368[[#This Row],[Date achat]])</f>
        <v>87</v>
      </c>
      <c r="AA268" s="139">
        <f>IF(ISBLANK(Table1368[[#This Row],[Date relisting]]),"",IF(ISBLANK(Table1368[[#This Row],[Date relisting]]),TODAY(),Table1368[[#This Row],[Date relisting]])-Table1368[[#This Row],[Date réception Achat]])</f>
        <v>33</v>
      </c>
      <c r="AB268" s="139">
        <f>IF(ISBLANK(Table1368[[#This Row],[Date revente]]),"",IF(ISBLANK(Table1368[[#This Row],[Date revente]]),TODAY(),Table1368[[#This Row],[Date revente]])-Table1368[[#This Row],[Date relisting]])</f>
      </c>
      <c r="AC268" s="139">
        <f>IF(ISBLANK(Table1368[[#This Row],[Date revente]]),"",IF(ISBLANK(Table1368[[#This Row],[Date revente]]),TODAY(),Table1368[[#This Row],[Date revente]])-Table1368[[#This Row],[Date réception Achat]])</f>
      </c>
      <c r="AD268" s="139">
        <f>IF(ISBLANK(Table1368[[#This Row],[Date revente]]),"",IF(ISBLANK(Table1368[[#This Row],[Date revente]]),TODAY(),Table1368[[#This Row],[Date revente]])-Table1368[[#This Row],[Date achat]])</f>
      </c>
    </row>
    <row r="269" spans="1:30" x14ac:dyDescent="0.25">
      <c r="A269" s="134">
        <v>46164</v>
      </c>
      <c r="B269" s="146" t="s">
        <v>770</v>
      </c>
      <c r="C269" s="134" t="s">
        <v>771</v>
      </c>
      <c r="D269" s="157" t="s">
        <v>764</v>
      </c>
      <c r="E269" s="158">
        <v>452</v>
      </c>
      <c r="F269" s="157" t="s">
        <v>765</v>
      </c>
      <c r="G269" s="147" t="s">
        <v>682</v>
      </c>
      <c r="H269" s="155" t="s">
        <v>178</v>
      </c>
      <c r="I269" s="134" t="s">
        <v>165</v>
      </c>
      <c r="J269" s="134" t="s">
        <v>157</v>
      </c>
      <c r="K269" s="135">
        <v>14.575</v>
      </c>
      <c r="L269" s="135">
        <f>Table1368[[#This Row],[Prix total Achat]]-Table1368[[#This Row],[Prix article]]</f>
        <v>15.908262857142855</v>
      </c>
      <c r="M269" s="135">
        <v>30.483262857142854</v>
      </c>
      <c r="N269" s="134">
        <v>46251</v>
      </c>
      <c r="O269" s="136">
        <f>(Table1368[[#This Row],[Prix total Achat]]*2)</f>
        <v>60.96652571428571</v>
      </c>
      <c r="P269" s="136">
        <f>Table1368[[#This Row],[Prix Min voulu (x2 )]]*1.2</f>
        <v>73.15983085714285</v>
      </c>
      <c r="Q269" s="134">
        <v>46284</v>
      </c>
      <c r="R269" s="134"/>
      <c r="S269" s="135"/>
      <c r="T269" s="134"/>
      <c r="U269" s="134" t="s">
        <v>157</v>
      </c>
      <c r="V269" s="137">
        <f>IF(ISBLANK(Table1368[[#This Row],[Date réception Achat]]),"",IF(ISBLANK(Table1368[[#This Row],[Date revente]]),TODAY(),Table1368[[#This Row],[Date revente]])-Table1368[[#This Row],[Date réception Achat]])</f>
        <v>52</v>
      </c>
      <c r="W26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69" s="135">
        <f>IF(Table1368[[#This Row],[Prix de revente]]="","",Table1368[[#This Row],[Prix de revente]]-Table1368[[#This Row],[Prix total Achat]])</f>
      </c>
      <c r="Y269" s="138">
        <f>IF(Table1368[[#This Row],[Prix de revente]]="","",(Table1368[[#This Row],[Prix de revente]]/Table1368[[#This Row],[Prix total Achat]]))</f>
      </c>
      <c r="Z269" s="139">
        <f>IF(ISBLANK(Table1368[[#This Row],[Date réception Achat]]),"",IF(ISBLANK(Table1368[[#This Row],[Date réception Achat]]),TODAY(),Table1368[[#This Row],[Date réception Achat]])-Table1368[[#This Row],[Date achat]])</f>
        <v>87</v>
      </c>
      <c r="AA269" s="139">
        <f>IF(ISBLANK(Table1368[[#This Row],[Date relisting]]),"",IF(ISBLANK(Table1368[[#This Row],[Date relisting]]),TODAY(),Table1368[[#This Row],[Date relisting]])-Table1368[[#This Row],[Date réception Achat]])</f>
        <v>33</v>
      </c>
      <c r="AB269" s="139">
        <f>IF(ISBLANK(Table1368[[#This Row],[Date revente]]),"",IF(ISBLANK(Table1368[[#This Row],[Date revente]]),TODAY(),Table1368[[#This Row],[Date revente]])-Table1368[[#This Row],[Date relisting]])</f>
      </c>
      <c r="AC269" s="139">
        <f>IF(ISBLANK(Table1368[[#This Row],[Date revente]]),"",IF(ISBLANK(Table1368[[#This Row],[Date revente]]),TODAY(),Table1368[[#This Row],[Date revente]])-Table1368[[#This Row],[Date réception Achat]])</f>
      </c>
      <c r="AD269" s="139">
        <f>IF(ISBLANK(Table1368[[#This Row],[Date revente]]),"",IF(ISBLANK(Table1368[[#This Row],[Date revente]]),TODAY(),Table1368[[#This Row],[Date revente]])-Table1368[[#This Row],[Date achat]])</f>
      </c>
    </row>
    <row r="270" spans="1:30" x14ac:dyDescent="0.25">
      <c r="A270" s="134">
        <v>46164</v>
      </c>
      <c r="B270" s="148" t="s">
        <v>772</v>
      </c>
      <c r="C270" s="134" t="s">
        <v>773</v>
      </c>
      <c r="D270" s="157" t="s">
        <v>764</v>
      </c>
      <c r="E270" s="158">
        <v>334</v>
      </c>
      <c r="F270" s="157" t="s">
        <v>765</v>
      </c>
      <c r="G270" s="147" t="s">
        <v>392</v>
      </c>
      <c r="H270" s="155" t="s">
        <v>174</v>
      </c>
      <c r="I270" s="134" t="s">
        <v>165</v>
      </c>
      <c r="J270" s="134" t="s">
        <v>157</v>
      </c>
      <c r="K270" s="135">
        <v>18.15</v>
      </c>
      <c r="L270" s="135">
        <f>Table1368[[#This Row],[Prix total Achat]]-Table1368[[#This Row],[Prix article]]</f>
        <v>15.908262857142851</v>
      </c>
      <c r="M270" s="135">
        <v>34.05826285714285</v>
      </c>
      <c r="N270" s="134">
        <v>46251</v>
      </c>
      <c r="O270" s="136">
        <f>(Table1368[[#This Row],[Prix total Achat]]*2)</f>
        <v>68.1165257142857</v>
      </c>
      <c r="P270" s="136">
        <f>Table1368[[#This Row],[Prix Min voulu (x2 )]]*1.2</f>
        <v>81.73983085714283</v>
      </c>
      <c r="Q270" s="134">
        <v>46283</v>
      </c>
      <c r="R270" s="134">
        <v>46301</v>
      </c>
      <c r="S270" s="135">
        <v>92</v>
      </c>
      <c r="T270" s="134" t="s">
        <v>160</v>
      </c>
      <c r="U270" s="134" t="s">
        <v>157</v>
      </c>
      <c r="V270" s="137">
        <f>IF(ISBLANK(Table1368[[#This Row],[Date réception Achat]]),"",IF(ISBLANK(Table1368[[#This Row],[Date revente]]),TODAY(),Table1368[[#This Row],[Date revente]])-Table1368[[#This Row],[Date réception Achat]])</f>
        <v>50</v>
      </c>
      <c r="W27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0" s="135">
        <f>IF(Table1368[[#This Row],[Prix de revente]]="","",Table1368[[#This Row],[Prix de revente]]-Table1368[[#This Row],[Prix total Achat]])</f>
        <v>57.94173714285715</v>
      </c>
      <c r="Y270" s="138">
        <f>IF(Table1368[[#This Row],[Prix de revente]]="","",(Table1368[[#This Row],[Prix de revente]]/Table1368[[#This Row],[Prix total Achat]]))</f>
        <v>2.70125344871209</v>
      </c>
      <c r="Z270" s="139">
        <f>IF(ISBLANK(Table1368[[#This Row],[Date réception Achat]]),"",IF(ISBLANK(Table1368[[#This Row],[Date réception Achat]]),TODAY(),Table1368[[#This Row],[Date réception Achat]])-Table1368[[#This Row],[Date achat]])</f>
        <v>87</v>
      </c>
      <c r="AA270" s="139">
        <f>IF(ISBLANK(Table1368[[#This Row],[Date relisting]]),"",IF(ISBLANK(Table1368[[#This Row],[Date relisting]]),TODAY(),Table1368[[#This Row],[Date relisting]])-Table1368[[#This Row],[Date réception Achat]])</f>
        <v>32</v>
      </c>
      <c r="AB270" s="139">
        <f>IF(ISBLANK(Table1368[[#This Row],[Date revente]]),"",IF(ISBLANK(Table1368[[#This Row],[Date revente]]),TODAY(),Table1368[[#This Row],[Date revente]])-Table1368[[#This Row],[Date relisting]])</f>
        <v>18</v>
      </c>
      <c r="AC270" s="139">
        <f>IF(ISBLANK(Table1368[[#This Row],[Date revente]]),"",IF(ISBLANK(Table1368[[#This Row],[Date revente]]),TODAY(),Table1368[[#This Row],[Date revente]])-Table1368[[#This Row],[Date réception Achat]])</f>
        <v>50</v>
      </c>
      <c r="AD270" s="139">
        <f>IF(ISBLANK(Table1368[[#This Row],[Date revente]]),"",IF(ISBLANK(Table1368[[#This Row],[Date revente]]),TODAY(),Table1368[[#This Row],[Date revente]])-Table1368[[#This Row],[Date achat]])</f>
        <v>137</v>
      </c>
    </row>
    <row r="271" spans="1:30" x14ac:dyDescent="0.25">
      <c r="A271" s="134">
        <v>46164</v>
      </c>
      <c r="B271" s="148" t="s">
        <v>774</v>
      </c>
      <c r="C271" s="134" t="s">
        <v>775</v>
      </c>
      <c r="D271" s="157" t="s">
        <v>764</v>
      </c>
      <c r="E271" s="158">
        <v>402</v>
      </c>
      <c r="F271" s="157" t="s">
        <v>765</v>
      </c>
      <c r="G271" s="147" t="s">
        <v>392</v>
      </c>
      <c r="H271" s="155" t="s">
        <v>178</v>
      </c>
      <c r="I271" s="134" t="s">
        <v>165</v>
      </c>
      <c r="J271" s="134" t="s">
        <v>157</v>
      </c>
      <c r="K271" s="135">
        <v>19.25</v>
      </c>
      <c r="L271" s="135">
        <f>Table1368[[#This Row],[Prix total Achat]]-Table1368[[#This Row],[Prix article]]</f>
        <v>15.908262857142859</v>
      </c>
      <c r="M271" s="135">
        <v>35.15826285714286</v>
      </c>
      <c r="N271" s="134">
        <v>46251</v>
      </c>
      <c r="O271" s="136">
        <f>(Table1368[[#This Row],[Prix total Achat]]*2)</f>
        <v>70.31652571428572</v>
      </c>
      <c r="P271" s="136">
        <f>Table1368[[#This Row],[Prix Min voulu (x2 )]]*1.2</f>
        <v>84.37983085714286</v>
      </c>
      <c r="Q271" s="134">
        <v>46283</v>
      </c>
      <c r="R271" s="134">
        <v>46283</v>
      </c>
      <c r="S271" s="135">
        <v>85</v>
      </c>
      <c r="T271" s="134" t="s">
        <v>160</v>
      </c>
      <c r="U271" s="134" t="s">
        <v>157</v>
      </c>
      <c r="V271" s="137">
        <f>IF(ISBLANK(Table1368[[#This Row],[Date réception Achat]]),"",IF(ISBLANK(Table1368[[#This Row],[Date revente]]),TODAY(),Table1368[[#This Row],[Date revente]])-Table1368[[#This Row],[Date réception Achat]])</f>
        <v>32</v>
      </c>
      <c r="W27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1" s="135">
        <f>IF(Table1368[[#This Row],[Prix de revente]]="","",Table1368[[#This Row],[Prix de revente]]-Table1368[[#This Row],[Prix total Achat]])</f>
        <v>49.84173714285714</v>
      </c>
      <c r="Y271" s="138">
        <f>IF(Table1368[[#This Row],[Prix de revente]]="","",(Table1368[[#This Row],[Prix de revente]]/Table1368[[#This Row],[Prix total Achat]]))</f>
        <v>2.4176393567957852</v>
      </c>
      <c r="Z271" s="139">
        <f>IF(ISBLANK(Table1368[[#This Row],[Date réception Achat]]),"",IF(ISBLANK(Table1368[[#This Row],[Date réception Achat]]),TODAY(),Table1368[[#This Row],[Date réception Achat]])-Table1368[[#This Row],[Date achat]])</f>
        <v>87</v>
      </c>
      <c r="AA271" s="139">
        <f>IF(ISBLANK(Table1368[[#This Row],[Date relisting]]),"",IF(ISBLANK(Table1368[[#This Row],[Date relisting]]),TODAY(),Table1368[[#This Row],[Date relisting]])-Table1368[[#This Row],[Date réception Achat]])</f>
        <v>32</v>
      </c>
      <c r="AB271" s="139">
        <f>IF(ISBLANK(Table1368[[#This Row],[Date revente]]),"",IF(ISBLANK(Table1368[[#This Row],[Date revente]]),TODAY(),Table1368[[#This Row],[Date revente]])-Table1368[[#This Row],[Date relisting]])</f>
        <v>0</v>
      </c>
      <c r="AC271" s="139">
        <f>IF(ISBLANK(Table1368[[#This Row],[Date revente]]),"",IF(ISBLANK(Table1368[[#This Row],[Date revente]]),TODAY(),Table1368[[#This Row],[Date revente]])-Table1368[[#This Row],[Date réception Achat]])</f>
        <v>32</v>
      </c>
      <c r="AD271" s="139">
        <f>IF(ISBLANK(Table1368[[#This Row],[Date revente]]),"",IF(ISBLANK(Table1368[[#This Row],[Date revente]]),TODAY(),Table1368[[#This Row],[Date revente]])-Table1368[[#This Row],[Date achat]])</f>
        <v>119</v>
      </c>
    </row>
    <row r="272" spans="1:30" x14ac:dyDescent="0.25">
      <c r="A272" s="134">
        <v>46164</v>
      </c>
      <c r="B272" s="148" t="s">
        <v>776</v>
      </c>
      <c r="C272" s="134" t="s">
        <v>777</v>
      </c>
      <c r="D272" s="157" t="s">
        <v>764</v>
      </c>
      <c r="E272" s="158">
        <v>748</v>
      </c>
      <c r="F272" s="157" t="s">
        <v>309</v>
      </c>
      <c r="G272" s="147" t="s">
        <v>778</v>
      </c>
      <c r="H272" s="155" t="s">
        <v>287</v>
      </c>
      <c r="I272" s="134" t="s">
        <v>165</v>
      </c>
      <c r="J272" s="134" t="s">
        <v>157</v>
      </c>
      <c r="K272" s="135">
        <v>52.029999999999994</v>
      </c>
      <c r="L272" s="135">
        <f>Table1368[[#This Row],[Prix total Achat]]-Table1368[[#This Row],[Prix article]]</f>
        <v>15.908262857142851</v>
      </c>
      <c r="M272" s="135">
        <v>67.93826285714285</v>
      </c>
      <c r="N272" s="134">
        <v>46251</v>
      </c>
      <c r="O272" s="136">
        <f>(Table1368[[#This Row],[Prix total Achat]]*2)</f>
        <v>135.8765257142857</v>
      </c>
      <c r="P272" s="136">
        <f>Table1368[[#This Row],[Prix Min voulu (x2 )]]*1.2</f>
        <v>163.05183085714282</v>
      </c>
      <c r="Q272" s="134">
        <v>46284</v>
      </c>
      <c r="R272" s="134">
        <v>46297</v>
      </c>
      <c r="S272" s="135">
        <v>150</v>
      </c>
      <c r="T272" s="134" t="s">
        <v>160</v>
      </c>
      <c r="U272" s="134" t="s">
        <v>157</v>
      </c>
      <c r="V272" s="137">
        <f>IF(ISBLANK(Table1368[[#This Row],[Date réception Achat]]),"",IF(ISBLANK(Table1368[[#This Row],[Date revente]]),TODAY(),Table1368[[#This Row],[Date revente]])-Table1368[[#This Row],[Date réception Achat]])</f>
        <v>46</v>
      </c>
      <c r="W27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2" s="135">
        <f>IF(Table1368[[#This Row],[Prix de revente]]="","",Table1368[[#This Row],[Prix de revente]]-Table1368[[#This Row],[Prix total Achat]])</f>
        <v>82.06173714285715</v>
      </c>
      <c r="Y272" s="138">
        <f>IF(Table1368[[#This Row],[Prix de revente]]="","",(Table1368[[#This Row],[Prix de revente]]/Table1368[[#This Row],[Prix total Achat]]))</f>
        <v>2.2078868915946885</v>
      </c>
      <c r="Z272" s="139">
        <f>IF(ISBLANK(Table1368[[#This Row],[Date réception Achat]]),"",IF(ISBLANK(Table1368[[#This Row],[Date réception Achat]]),TODAY(),Table1368[[#This Row],[Date réception Achat]])-Table1368[[#This Row],[Date achat]])</f>
        <v>87</v>
      </c>
      <c r="AA272" s="139">
        <f>IF(ISBLANK(Table1368[[#This Row],[Date relisting]]),"",IF(ISBLANK(Table1368[[#This Row],[Date relisting]]),TODAY(),Table1368[[#This Row],[Date relisting]])-Table1368[[#This Row],[Date réception Achat]])</f>
        <v>33</v>
      </c>
      <c r="AB272" s="139">
        <f>IF(ISBLANK(Table1368[[#This Row],[Date revente]]),"",IF(ISBLANK(Table1368[[#This Row],[Date revente]]),TODAY(),Table1368[[#This Row],[Date revente]])-Table1368[[#This Row],[Date relisting]])</f>
        <v>13</v>
      </c>
      <c r="AC272" s="139">
        <f>IF(ISBLANK(Table1368[[#This Row],[Date revente]]),"",IF(ISBLANK(Table1368[[#This Row],[Date revente]]),TODAY(),Table1368[[#This Row],[Date revente]])-Table1368[[#This Row],[Date réception Achat]])</f>
        <v>46</v>
      </c>
      <c r="AD272" s="139">
        <f>IF(ISBLANK(Table1368[[#This Row],[Date revente]]),"",IF(ISBLANK(Table1368[[#This Row],[Date revente]]),TODAY(),Table1368[[#This Row],[Date revente]])-Table1368[[#This Row],[Date achat]])</f>
        <v>133</v>
      </c>
    </row>
    <row r="273" spans="1:30" x14ac:dyDescent="0.25">
      <c r="A273" s="134">
        <v>46165</v>
      </c>
      <c r="B273" s="141" t="s">
        <v>644</v>
      </c>
      <c r="C273" s="134" t="s">
        <v>779</v>
      </c>
      <c r="D273" s="156" t="s">
        <v>157</v>
      </c>
      <c r="E273" s="156"/>
      <c r="F273" s="156"/>
      <c r="G273" s="134" t="s">
        <v>228</v>
      </c>
      <c r="H273" s="127" t="s">
        <v>287</v>
      </c>
      <c r="I273" s="134" t="s">
        <v>160</v>
      </c>
      <c r="J273" s="134" t="s">
        <v>157</v>
      </c>
      <c r="K273" s="135">
        <v>12</v>
      </c>
      <c r="L273" s="135">
        <f>Table1368[[#This Row],[Prix total Achat]]-Table1368[[#This Row],[Prix article]]</f>
        <v>4.489999999999998</v>
      </c>
      <c r="M273" s="135">
        <v>16.49</v>
      </c>
      <c r="N273" s="134">
        <v>46171</v>
      </c>
      <c r="O273" s="136">
        <f>(Table1368[[#This Row],[Prix total Achat]]*2)</f>
        <v>32.98</v>
      </c>
      <c r="P273" s="136">
        <f>Table1368[[#This Row],[Prix Min voulu (x2 )]]*1.2</f>
        <v>39.57599999999999</v>
      </c>
      <c r="Q273" s="134">
        <v>46175</v>
      </c>
      <c r="R273" s="134">
        <v>46186</v>
      </c>
      <c r="S273" s="135">
        <v>45</v>
      </c>
      <c r="T273" s="134" t="s">
        <v>160</v>
      </c>
      <c r="U273" s="134" t="s">
        <v>157</v>
      </c>
      <c r="V273" s="137">
        <f>IF(ISBLANK(Table1368[[#This Row],[Date réception Achat]]),"",IF(ISBLANK(Table1368[[#This Row],[Date revente]]),TODAY(),Table1368[[#This Row],[Date revente]])-Table1368[[#This Row],[Date réception Achat]])</f>
        <v>15</v>
      </c>
      <c r="W27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3" s="135">
        <f>IF(Table1368[[#This Row],[Prix de revente]]="","",Table1368[[#This Row],[Prix de revente]]-Table1368[[#This Row],[Prix total Achat]])</f>
        <v>28.51</v>
      </c>
      <c r="Y273" s="138">
        <f>IF(Table1368[[#This Row],[Prix de revente]]="","",(Table1368[[#This Row],[Prix de revente]]/Table1368[[#This Row],[Prix total Achat]]))</f>
        <v>2.72892662219527</v>
      </c>
      <c r="Z273" s="139">
        <f>IF(ISBLANK(Table1368[[#This Row],[Date réception Achat]]),"",IF(ISBLANK(Table1368[[#This Row],[Date réception Achat]]),TODAY(),Table1368[[#This Row],[Date réception Achat]])-Table1368[[#This Row],[Date achat]])</f>
        <v>6</v>
      </c>
      <c r="AA273" s="139">
        <f>IF(ISBLANK(Table1368[[#This Row],[Date relisting]]),"",IF(ISBLANK(Table1368[[#This Row],[Date relisting]]),TODAY(),Table1368[[#This Row],[Date relisting]])-Table1368[[#This Row],[Date réception Achat]])</f>
        <v>4</v>
      </c>
      <c r="AB273" s="139">
        <f>IF(ISBLANK(Table1368[[#This Row],[Date revente]]),"",IF(ISBLANK(Table1368[[#This Row],[Date revente]]),TODAY(),Table1368[[#This Row],[Date revente]])-Table1368[[#This Row],[Date relisting]])</f>
        <v>11</v>
      </c>
      <c r="AC273" s="139">
        <f>IF(ISBLANK(Table1368[[#This Row],[Date revente]]),"",IF(ISBLANK(Table1368[[#This Row],[Date revente]]),TODAY(),Table1368[[#This Row],[Date revente]])-Table1368[[#This Row],[Date réception Achat]])</f>
        <v>15</v>
      </c>
      <c r="AD273" s="139">
        <f>IF(ISBLANK(Table1368[[#This Row],[Date revente]]),"",IF(ISBLANK(Table1368[[#This Row],[Date revente]]),TODAY(),Table1368[[#This Row],[Date revente]])-Table1368[[#This Row],[Date achat]])</f>
        <v>21</v>
      </c>
    </row>
    <row r="274" spans="1:30" x14ac:dyDescent="0.25">
      <c r="A274" s="134">
        <v>46167</v>
      </c>
      <c r="B274" s="146" t="s">
        <v>780</v>
      </c>
      <c r="C274" s="134" t="s">
        <v>781</v>
      </c>
      <c r="D274" s="157" t="s">
        <v>782</v>
      </c>
      <c r="E274" s="157"/>
      <c r="F274" s="157"/>
      <c r="G274" s="147" t="s">
        <v>173</v>
      </c>
      <c r="H274" s="155" t="s">
        <v>174</v>
      </c>
      <c r="I274" s="134" t="s">
        <v>165</v>
      </c>
      <c r="J274" s="134" t="s">
        <v>157</v>
      </c>
      <c r="K274" s="135">
        <v>24.75</v>
      </c>
      <c r="L274" s="135">
        <f>Table1368[[#This Row],[Prix total Achat]]-Table1368[[#This Row],[Prix article]]</f>
        <v>14.111322857142852</v>
      </c>
      <c r="M274" s="135">
        <v>38.86132285714285</v>
      </c>
      <c r="N274" s="134">
        <v>46178</v>
      </c>
      <c r="O274" s="136">
        <f>(Table1368[[#This Row],[Prix total Achat]]*2)</f>
        <v>77.7226457142857</v>
      </c>
      <c r="P274" s="136">
        <f>Table1368[[#This Row],[Prix Min voulu (x2 )]]*1.2</f>
        <v>93.26717485714285</v>
      </c>
      <c r="Q274" s="134">
        <v>46182</v>
      </c>
      <c r="R274" s="134">
        <v>46182</v>
      </c>
      <c r="S274" s="135">
        <v>90</v>
      </c>
      <c r="T274" s="134" t="s">
        <v>160</v>
      </c>
      <c r="U274" s="134" t="s">
        <v>157</v>
      </c>
      <c r="V274" s="137">
        <f>IF(ISBLANK(Table1368[[#This Row],[Date réception Achat]]),"",IF(ISBLANK(Table1368[[#This Row],[Date revente]]),TODAY(),Table1368[[#This Row],[Date revente]])-Table1368[[#This Row],[Date réception Achat]])</f>
        <v>4</v>
      </c>
      <c r="W27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4" s="135">
        <f>IF(Table1368[[#This Row],[Prix de revente]]="","",Table1368[[#This Row],[Prix de revente]]-Table1368[[#This Row],[Prix total Achat]])</f>
        <v>51.13867714285715</v>
      </c>
      <c r="Y274" s="138">
        <f>IF(Table1368[[#This Row],[Prix de revente]]="","",(Table1368[[#This Row],[Prix de revente]]/Table1368[[#This Row],[Prix total Achat]]))</f>
        <v>2.315927338110614</v>
      </c>
      <c r="Z274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74" s="139">
        <f>IF(ISBLANK(Table1368[[#This Row],[Date relisting]]),"",IF(ISBLANK(Table1368[[#This Row],[Date relisting]]),TODAY(),Table1368[[#This Row],[Date relisting]])-Table1368[[#This Row],[Date réception Achat]])</f>
        <v>4</v>
      </c>
      <c r="AB274" s="139">
        <f>IF(ISBLANK(Table1368[[#This Row],[Date revente]]),"",IF(ISBLANK(Table1368[[#This Row],[Date revente]]),TODAY(),Table1368[[#This Row],[Date revente]])-Table1368[[#This Row],[Date relisting]])</f>
        <v>0</v>
      </c>
      <c r="AC274" s="139">
        <f>IF(ISBLANK(Table1368[[#This Row],[Date revente]]),"",IF(ISBLANK(Table1368[[#This Row],[Date revente]]),TODAY(),Table1368[[#This Row],[Date revente]])-Table1368[[#This Row],[Date réception Achat]])</f>
        <v>4</v>
      </c>
      <c r="AD274" s="139">
        <f>IF(ISBLANK(Table1368[[#This Row],[Date revente]]),"",IF(ISBLANK(Table1368[[#This Row],[Date revente]]),TODAY(),Table1368[[#This Row],[Date revente]])-Table1368[[#This Row],[Date achat]])</f>
        <v>15</v>
      </c>
    </row>
    <row r="275" spans="1:30" x14ac:dyDescent="0.25">
      <c r="A275" s="134">
        <v>46167</v>
      </c>
      <c r="B275" s="146" t="s">
        <v>783</v>
      </c>
      <c r="C275" s="134" t="s">
        <v>784</v>
      </c>
      <c r="D275" s="157" t="s">
        <v>782</v>
      </c>
      <c r="E275" s="157"/>
      <c r="F275" s="157"/>
      <c r="G275" s="147" t="s">
        <v>163</v>
      </c>
      <c r="H275" s="155" t="s">
        <v>178</v>
      </c>
      <c r="I275" s="134" t="s">
        <v>165</v>
      </c>
      <c r="J275" s="134" t="s">
        <v>157</v>
      </c>
      <c r="K275" s="135">
        <v>16.5</v>
      </c>
      <c r="L275" s="135">
        <f>Table1368[[#This Row],[Prix total Achat]]-Table1368[[#This Row],[Prix article]]</f>
        <v>14.111322857142856</v>
      </c>
      <c r="M275" s="135">
        <v>30.611322857142856</v>
      </c>
      <c r="N275" s="134">
        <v>46178</v>
      </c>
      <c r="O275" s="136">
        <f>(Table1368[[#This Row],[Prix total Achat]]*2)</f>
        <v>61.22264571428571</v>
      </c>
      <c r="P275" s="136">
        <f>Table1368[[#This Row],[Prix Min voulu (x2 )]]*1.2</f>
        <v>73.46717485714285</v>
      </c>
      <c r="Q275" s="134">
        <v>46183</v>
      </c>
      <c r="R275" s="134"/>
      <c r="S275" s="135"/>
      <c r="T275" s="134"/>
      <c r="U275" s="134"/>
      <c r="V275" s="137">
        <f>IF(ISBLANK(Table1368[[#This Row],[Date réception Achat]]),"",IF(ISBLANK(Table1368[[#This Row],[Date revente]]),TODAY(),Table1368[[#This Row],[Date revente]])-Table1368[[#This Row],[Date réception Achat]])</f>
        <v>125</v>
      </c>
      <c r="W27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75" s="135">
        <f>IF(Table1368[[#This Row],[Prix de revente]]="","",Table1368[[#This Row],[Prix de revente]]-Table1368[[#This Row],[Prix total Achat]])</f>
      </c>
      <c r="Y275" s="138">
        <f>IF(Table1368[[#This Row],[Prix de revente]]="","",(Table1368[[#This Row],[Prix de revente]]/Table1368[[#This Row],[Prix total Achat]]))</f>
      </c>
      <c r="Z275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75" s="139">
        <f>IF(ISBLANK(Table1368[[#This Row],[Date relisting]]),"",IF(ISBLANK(Table1368[[#This Row],[Date relisting]]),TODAY(),Table1368[[#This Row],[Date relisting]])-Table1368[[#This Row],[Date réception Achat]])</f>
        <v>5</v>
      </c>
      <c r="AB275" s="139">
        <f>IF(ISBLANK(Table1368[[#This Row],[Date revente]]),"",IF(ISBLANK(Table1368[[#This Row],[Date revente]]),TODAY(),Table1368[[#This Row],[Date revente]])-Table1368[[#This Row],[Date relisting]])</f>
      </c>
      <c r="AC275" s="139">
        <f>IF(ISBLANK(Table1368[[#This Row],[Date revente]]),"",IF(ISBLANK(Table1368[[#This Row],[Date revente]]),TODAY(),Table1368[[#This Row],[Date revente]])-Table1368[[#This Row],[Date réception Achat]])</f>
      </c>
      <c r="AD275" s="139">
        <f>IF(ISBLANK(Table1368[[#This Row],[Date revente]]),"",IF(ISBLANK(Table1368[[#This Row],[Date revente]]),TODAY(),Table1368[[#This Row],[Date revente]])-Table1368[[#This Row],[Date achat]])</f>
      </c>
    </row>
    <row r="276" spans="1:30" x14ac:dyDescent="0.25">
      <c r="A276" s="134">
        <v>46167</v>
      </c>
      <c r="B276" s="146" t="s">
        <v>785</v>
      </c>
      <c r="C276" s="134" t="s">
        <v>786</v>
      </c>
      <c r="D276" s="157" t="s">
        <v>782</v>
      </c>
      <c r="E276" s="157"/>
      <c r="F276" s="157"/>
      <c r="G276" s="147" t="s">
        <v>163</v>
      </c>
      <c r="H276" s="155" t="s">
        <v>164</v>
      </c>
      <c r="I276" s="134" t="s">
        <v>165</v>
      </c>
      <c r="J276" s="134" t="s">
        <v>157</v>
      </c>
      <c r="K276" s="135">
        <v>16.5</v>
      </c>
      <c r="L276" s="135">
        <f>Table1368[[#This Row],[Prix total Achat]]-Table1368[[#This Row],[Prix article]]</f>
        <v>14.111322857142856</v>
      </c>
      <c r="M276" s="135">
        <v>30.611322857142856</v>
      </c>
      <c r="N276" s="134">
        <v>46178</v>
      </c>
      <c r="O276" s="136">
        <f>(Table1368[[#This Row],[Prix total Achat]]*2)</f>
        <v>61.22264571428571</v>
      </c>
      <c r="P276" s="136">
        <f>Table1368[[#This Row],[Prix Min voulu (x2 )]]*1.2</f>
        <v>73.46717485714285</v>
      </c>
      <c r="Q276" s="134">
        <v>46182</v>
      </c>
      <c r="R276" s="134">
        <v>46184</v>
      </c>
      <c r="S276" s="135">
        <v>99</v>
      </c>
      <c r="T276" s="134" t="s">
        <v>160</v>
      </c>
      <c r="U276" s="134" t="s">
        <v>157</v>
      </c>
      <c r="V276" s="137">
        <f>IF(ISBLANK(Table1368[[#This Row],[Date réception Achat]]),"",IF(ISBLANK(Table1368[[#This Row],[Date revente]]),TODAY(),Table1368[[#This Row],[Date revente]])-Table1368[[#This Row],[Date réception Achat]])</f>
        <v>6</v>
      </c>
      <c r="W27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6" s="135">
        <f>IF(Table1368[[#This Row],[Prix de revente]]="","",Table1368[[#This Row],[Prix de revente]]-Table1368[[#This Row],[Prix total Achat]])</f>
        <v>68.38867714285715</v>
      </c>
      <c r="Y276" s="138">
        <f>IF(Table1368[[#This Row],[Prix de revente]]="","",(Table1368[[#This Row],[Prix de revente]]/Table1368[[#This Row],[Prix total Achat]]))</f>
        <v>3.23409741101402</v>
      </c>
      <c r="Z276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76" s="139">
        <f>IF(ISBLANK(Table1368[[#This Row],[Date relisting]]),"",IF(ISBLANK(Table1368[[#This Row],[Date relisting]]),TODAY(),Table1368[[#This Row],[Date relisting]])-Table1368[[#This Row],[Date réception Achat]])</f>
        <v>4</v>
      </c>
      <c r="AB276" s="139">
        <f>IF(ISBLANK(Table1368[[#This Row],[Date revente]]),"",IF(ISBLANK(Table1368[[#This Row],[Date revente]]),TODAY(),Table1368[[#This Row],[Date revente]])-Table1368[[#This Row],[Date relisting]])</f>
        <v>2</v>
      </c>
      <c r="AC276" s="139">
        <f>IF(ISBLANK(Table1368[[#This Row],[Date revente]]),"",IF(ISBLANK(Table1368[[#This Row],[Date revente]]),TODAY(),Table1368[[#This Row],[Date revente]])-Table1368[[#This Row],[Date réception Achat]])</f>
        <v>6</v>
      </c>
      <c r="AD276" s="139">
        <f>IF(ISBLANK(Table1368[[#This Row],[Date revente]]),"",IF(ISBLANK(Table1368[[#This Row],[Date revente]]),TODAY(),Table1368[[#This Row],[Date revente]])-Table1368[[#This Row],[Date achat]])</f>
        <v>17</v>
      </c>
    </row>
    <row r="277" spans="1:30" x14ac:dyDescent="0.25">
      <c r="A277" s="134">
        <v>46167</v>
      </c>
      <c r="B277" s="146" t="s">
        <v>787</v>
      </c>
      <c r="C277" s="134" t="s">
        <v>788</v>
      </c>
      <c r="D277" s="157" t="s">
        <v>782</v>
      </c>
      <c r="E277" s="157"/>
      <c r="F277" s="157"/>
      <c r="G277" s="147" t="s">
        <v>163</v>
      </c>
      <c r="H277" s="155" t="s">
        <v>178</v>
      </c>
      <c r="I277" s="134" t="s">
        <v>165</v>
      </c>
      <c r="J277" s="134" t="s">
        <v>157</v>
      </c>
      <c r="K277" s="135">
        <v>24.75</v>
      </c>
      <c r="L277" s="135">
        <f>Table1368[[#This Row],[Prix total Achat]]-Table1368[[#This Row],[Prix article]]</f>
        <v>14.111322857142852</v>
      </c>
      <c r="M277" s="135">
        <v>38.86132285714285</v>
      </c>
      <c r="N277" s="134">
        <v>46178</v>
      </c>
      <c r="O277" s="136">
        <f>(Table1368[[#This Row],[Prix total Achat]]*2)</f>
        <v>77.7226457142857</v>
      </c>
      <c r="P277" s="136">
        <f>Table1368[[#This Row],[Prix Min voulu (x2 )]]*1.2</f>
        <v>93.26717485714285</v>
      </c>
      <c r="Q277" s="134">
        <v>46183</v>
      </c>
      <c r="R277" s="134">
        <v>46274</v>
      </c>
      <c r="S277" s="135">
        <v>80</v>
      </c>
      <c r="T277" s="134" t="s">
        <v>160</v>
      </c>
      <c r="U277" s="134" t="s">
        <v>157</v>
      </c>
      <c r="V277" s="137">
        <f>IF(ISBLANK(Table1368[[#This Row],[Date réception Achat]]),"",IF(ISBLANK(Table1368[[#This Row],[Date revente]]),TODAY(),Table1368[[#This Row],[Date revente]])-Table1368[[#This Row],[Date réception Achat]])</f>
        <v>96</v>
      </c>
      <c r="W27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7" s="135">
        <f>IF(Table1368[[#This Row],[Prix de revente]]="","",Table1368[[#This Row],[Prix de revente]]-Table1368[[#This Row],[Prix total Achat]])</f>
        <v>41.13867714285715</v>
      </c>
      <c r="Y277" s="138">
        <f>IF(Table1368[[#This Row],[Prix de revente]]="","",(Table1368[[#This Row],[Prix de revente]]/Table1368[[#This Row],[Prix total Achat]]))</f>
        <v>2.0586020783205456</v>
      </c>
      <c r="Z277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77" s="139">
        <f>IF(ISBLANK(Table1368[[#This Row],[Date relisting]]),"",IF(ISBLANK(Table1368[[#This Row],[Date relisting]]),TODAY(),Table1368[[#This Row],[Date relisting]])-Table1368[[#This Row],[Date réception Achat]])</f>
        <v>5</v>
      </c>
      <c r="AB277" s="139">
        <f>IF(ISBLANK(Table1368[[#This Row],[Date revente]]),"",IF(ISBLANK(Table1368[[#This Row],[Date revente]]),TODAY(),Table1368[[#This Row],[Date revente]])-Table1368[[#This Row],[Date relisting]])</f>
        <v>91</v>
      </c>
      <c r="AC277" s="139">
        <f>IF(ISBLANK(Table1368[[#This Row],[Date revente]]),"",IF(ISBLANK(Table1368[[#This Row],[Date revente]]),TODAY(),Table1368[[#This Row],[Date revente]])-Table1368[[#This Row],[Date réception Achat]])</f>
        <v>96</v>
      </c>
      <c r="AD277" s="139">
        <f>IF(ISBLANK(Table1368[[#This Row],[Date revente]]),"",IF(ISBLANK(Table1368[[#This Row],[Date revente]]),TODAY(),Table1368[[#This Row],[Date revente]])-Table1368[[#This Row],[Date achat]])</f>
        <v>107</v>
      </c>
    </row>
    <row r="278" spans="1:30" x14ac:dyDescent="0.25">
      <c r="A278" s="134">
        <v>46167</v>
      </c>
      <c r="B278" s="148" t="s">
        <v>789</v>
      </c>
      <c r="C278" s="134" t="s">
        <v>790</v>
      </c>
      <c r="D278" s="157" t="s">
        <v>782</v>
      </c>
      <c r="E278" s="157"/>
      <c r="F278" s="157"/>
      <c r="G278" s="147" t="s">
        <v>322</v>
      </c>
      <c r="H278" s="155" t="s">
        <v>174</v>
      </c>
      <c r="I278" s="134" t="s">
        <v>165</v>
      </c>
      <c r="J278" s="134" t="s">
        <v>157</v>
      </c>
      <c r="K278" s="135">
        <v>21.45</v>
      </c>
      <c r="L278" s="135">
        <f>Table1368[[#This Row],[Prix total Achat]]-Table1368[[#This Row],[Prix article]]</f>
        <v>14.111322857142856</v>
      </c>
      <c r="M278" s="135">
        <v>35.561322857142855</v>
      </c>
      <c r="N278" s="134">
        <v>46178</v>
      </c>
      <c r="O278" s="136">
        <f>(Table1368[[#This Row],[Prix total Achat]]*2)</f>
        <v>71.12264571428571</v>
      </c>
      <c r="P278" s="136">
        <f>Table1368[[#This Row],[Prix Min voulu (x2 )]]*1.2</f>
        <v>85.34717485714285</v>
      </c>
      <c r="Q278" s="134">
        <v>46181</v>
      </c>
      <c r="R278" s="134">
        <v>46191</v>
      </c>
      <c r="S278" s="135">
        <v>80</v>
      </c>
      <c r="T278" s="134" t="s">
        <v>160</v>
      </c>
      <c r="U278" s="134" t="s">
        <v>157</v>
      </c>
      <c r="V278" s="137">
        <f>IF(ISBLANK(Table1368[[#This Row],[Date réception Achat]]),"",IF(ISBLANK(Table1368[[#This Row],[Date revente]]),TODAY(),Table1368[[#This Row],[Date revente]])-Table1368[[#This Row],[Date réception Achat]])</f>
        <v>13</v>
      </c>
      <c r="W27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8" s="135">
        <f>IF(Table1368[[#This Row],[Prix de revente]]="","",Table1368[[#This Row],[Prix de revente]]-Table1368[[#This Row],[Prix total Achat]])</f>
        <v>44.438677142857145</v>
      </c>
      <c r="Y278" s="138">
        <f>IF(Table1368[[#This Row],[Prix de revente]]="","",(Table1368[[#This Row],[Prix de revente]]/Table1368[[#This Row],[Prix total Achat]]))</f>
        <v>2.249635097135628</v>
      </c>
      <c r="Z278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78" s="139">
        <f>IF(ISBLANK(Table1368[[#This Row],[Date relisting]]),"",IF(ISBLANK(Table1368[[#This Row],[Date relisting]]),TODAY(),Table1368[[#This Row],[Date relisting]])-Table1368[[#This Row],[Date réception Achat]])</f>
        <v>3</v>
      </c>
      <c r="AB278" s="139">
        <f>IF(ISBLANK(Table1368[[#This Row],[Date revente]]),"",IF(ISBLANK(Table1368[[#This Row],[Date revente]]),TODAY(),Table1368[[#This Row],[Date revente]])-Table1368[[#This Row],[Date relisting]])</f>
        <v>10</v>
      </c>
      <c r="AC278" s="139">
        <f>IF(ISBLANK(Table1368[[#This Row],[Date revente]]),"",IF(ISBLANK(Table1368[[#This Row],[Date revente]]),TODAY(),Table1368[[#This Row],[Date revente]])-Table1368[[#This Row],[Date réception Achat]])</f>
        <v>13</v>
      </c>
      <c r="AD278" s="139">
        <f>IF(ISBLANK(Table1368[[#This Row],[Date revente]]),"",IF(ISBLANK(Table1368[[#This Row],[Date revente]]),TODAY(),Table1368[[#This Row],[Date revente]])-Table1368[[#This Row],[Date achat]])</f>
        <v>24</v>
      </c>
    </row>
    <row r="279" spans="1:30" x14ac:dyDescent="0.25">
      <c r="A279" s="134">
        <v>46167</v>
      </c>
      <c r="B279" s="148" t="s">
        <v>791</v>
      </c>
      <c r="C279" s="134" t="s">
        <v>792</v>
      </c>
      <c r="D279" s="157" t="s">
        <v>782</v>
      </c>
      <c r="E279" s="157"/>
      <c r="F279" s="157"/>
      <c r="G279" s="147" t="s">
        <v>163</v>
      </c>
      <c r="H279" s="155" t="s">
        <v>178</v>
      </c>
      <c r="I279" s="134" t="s">
        <v>165</v>
      </c>
      <c r="J279" s="134" t="s">
        <v>157</v>
      </c>
      <c r="K279" s="135">
        <v>19.25</v>
      </c>
      <c r="L279" s="135">
        <f>Table1368[[#This Row],[Prix total Achat]]-Table1368[[#This Row],[Prix article]]</f>
        <v>14.111322857142852</v>
      </c>
      <c r="M279" s="135">
        <v>33.36132285714285</v>
      </c>
      <c r="N279" s="134">
        <v>46178</v>
      </c>
      <c r="O279" s="136">
        <f>(Table1368[[#This Row],[Prix total Achat]]*2)</f>
        <v>66.7226457142857</v>
      </c>
      <c r="P279" s="136">
        <f>Table1368[[#This Row],[Prix Min voulu (x2 )]]*1.2</f>
        <v>80.06717485714285</v>
      </c>
      <c r="Q279" s="134">
        <v>46184</v>
      </c>
      <c r="R279" s="134">
        <v>46240</v>
      </c>
      <c r="S279" s="135">
        <v>60</v>
      </c>
      <c r="T279" s="134" t="s">
        <v>160</v>
      </c>
      <c r="U279" s="134" t="s">
        <v>157</v>
      </c>
      <c r="V279" s="137">
        <f>IF(ISBLANK(Table1368[[#This Row],[Date réception Achat]]),"",IF(ISBLANK(Table1368[[#This Row],[Date revente]]),TODAY(),Table1368[[#This Row],[Date revente]])-Table1368[[#This Row],[Date réception Achat]])</f>
        <v>62</v>
      </c>
      <c r="W27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79" s="135">
        <f>IF(Table1368[[#This Row],[Prix de revente]]="","",Table1368[[#This Row],[Prix de revente]]-Table1368[[#This Row],[Prix total Achat]])</f>
        <v>26.638677142857148</v>
      </c>
      <c r="Y279" s="138">
        <f>IF(Table1368[[#This Row],[Prix de revente]]="","",(Table1368[[#This Row],[Prix de revente]]/Table1368[[#This Row],[Prix total Achat]]))</f>
        <v>1.7984898337792876</v>
      </c>
      <c r="Z279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79" s="139">
        <f>IF(ISBLANK(Table1368[[#This Row],[Date relisting]]),"",IF(ISBLANK(Table1368[[#This Row],[Date relisting]]),TODAY(),Table1368[[#This Row],[Date relisting]])-Table1368[[#This Row],[Date réception Achat]])</f>
        <v>6</v>
      </c>
      <c r="AB279" s="139">
        <f>IF(ISBLANK(Table1368[[#This Row],[Date revente]]),"",IF(ISBLANK(Table1368[[#This Row],[Date revente]]),TODAY(),Table1368[[#This Row],[Date revente]])-Table1368[[#This Row],[Date relisting]])</f>
        <v>56</v>
      </c>
      <c r="AC279" s="139">
        <f>IF(ISBLANK(Table1368[[#This Row],[Date revente]]),"",IF(ISBLANK(Table1368[[#This Row],[Date revente]]),TODAY(),Table1368[[#This Row],[Date revente]])-Table1368[[#This Row],[Date réception Achat]])</f>
        <v>62</v>
      </c>
      <c r="AD279" s="139">
        <f>IF(ISBLANK(Table1368[[#This Row],[Date revente]]),"",IF(ISBLANK(Table1368[[#This Row],[Date revente]]),TODAY(),Table1368[[#This Row],[Date revente]])-Table1368[[#This Row],[Date achat]])</f>
        <v>73</v>
      </c>
    </row>
    <row r="280" spans="1:30" x14ac:dyDescent="0.25">
      <c r="A280" s="134">
        <v>46167</v>
      </c>
      <c r="B280" s="148" t="s">
        <v>793</v>
      </c>
      <c r="C280" s="134" t="s">
        <v>794</v>
      </c>
      <c r="D280" s="157" t="s">
        <v>782</v>
      </c>
      <c r="E280" s="157"/>
      <c r="F280" s="157"/>
      <c r="G280" s="147" t="s">
        <v>163</v>
      </c>
      <c r="H280" s="155" t="s">
        <v>178</v>
      </c>
      <c r="I280" s="134" t="s">
        <v>165</v>
      </c>
      <c r="J280" s="134" t="s">
        <v>157</v>
      </c>
      <c r="K280" s="135">
        <v>13.639999999999999</v>
      </c>
      <c r="L280" s="135">
        <f>Table1368[[#This Row],[Prix total Achat]]-Table1368[[#This Row],[Prix article]]</f>
        <v>14.111322857142854</v>
      </c>
      <c r="M280" s="135">
        <v>27.751322857142853</v>
      </c>
      <c r="N280" s="134">
        <v>46178</v>
      </c>
      <c r="O280" s="136">
        <f>(Table1368[[#This Row],[Prix total Achat]]*2)</f>
        <v>55.502645714285705</v>
      </c>
      <c r="P280" s="136">
        <f>Table1368[[#This Row],[Prix Min voulu (x2 )]]*1.2</f>
        <v>66.60317485714285</v>
      </c>
      <c r="Q280" s="134">
        <v>46184</v>
      </c>
      <c r="R280" s="134">
        <v>46219</v>
      </c>
      <c r="S280" s="135">
        <v>80</v>
      </c>
      <c r="T280" s="134" t="s">
        <v>160</v>
      </c>
      <c r="U280" s="134" t="s">
        <v>157</v>
      </c>
      <c r="V280" s="137">
        <f>IF(ISBLANK(Table1368[[#This Row],[Date réception Achat]]),"",IF(ISBLANK(Table1368[[#This Row],[Date revente]]),TODAY(),Table1368[[#This Row],[Date revente]])-Table1368[[#This Row],[Date réception Achat]])</f>
        <v>41</v>
      </c>
      <c r="W28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0" s="135">
        <f>IF(Table1368[[#This Row],[Prix de revente]]="","",Table1368[[#This Row],[Prix de revente]]-Table1368[[#This Row],[Prix total Achat]])</f>
        <v>52.24867714285715</v>
      </c>
      <c r="Y280" s="138">
        <f>IF(Table1368[[#This Row],[Prix de revente]]="","",(Table1368[[#This Row],[Prix de revente]]/Table1368[[#This Row],[Prix total Achat]]))</f>
        <v>2.882745460885623</v>
      </c>
      <c r="Z280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280" s="139">
        <f>IF(ISBLANK(Table1368[[#This Row],[Date relisting]]),"",IF(ISBLANK(Table1368[[#This Row],[Date relisting]]),TODAY(),Table1368[[#This Row],[Date relisting]])-Table1368[[#This Row],[Date réception Achat]])</f>
        <v>6</v>
      </c>
      <c r="AB280" s="139">
        <f>IF(ISBLANK(Table1368[[#This Row],[Date revente]]),"",IF(ISBLANK(Table1368[[#This Row],[Date revente]]),TODAY(),Table1368[[#This Row],[Date revente]])-Table1368[[#This Row],[Date relisting]])</f>
        <v>35</v>
      </c>
      <c r="AC280" s="139">
        <f>IF(ISBLANK(Table1368[[#This Row],[Date revente]]),"",IF(ISBLANK(Table1368[[#This Row],[Date revente]]),TODAY(),Table1368[[#This Row],[Date revente]])-Table1368[[#This Row],[Date réception Achat]])</f>
        <v>41</v>
      </c>
      <c r="AD280" s="139">
        <f>IF(ISBLANK(Table1368[[#This Row],[Date revente]]),"",IF(ISBLANK(Table1368[[#This Row],[Date revente]]),TODAY(),Table1368[[#This Row],[Date revente]])-Table1368[[#This Row],[Date achat]])</f>
        <v>52</v>
      </c>
    </row>
    <row r="281" spans="1:30" x14ac:dyDescent="0.25">
      <c r="A281" s="134">
        <v>46181</v>
      </c>
      <c r="B281" s="141" t="s">
        <v>795</v>
      </c>
      <c r="C281" s="134" t="s">
        <v>796</v>
      </c>
      <c r="D281" s="156" t="s">
        <v>157</v>
      </c>
      <c r="E281" s="156"/>
      <c r="F281" s="156"/>
      <c r="G281" s="134" t="s">
        <v>797</v>
      </c>
      <c r="H281" s="127" t="s">
        <v>164</v>
      </c>
      <c r="I281" s="134" t="s">
        <v>160</v>
      </c>
      <c r="J281" s="134" t="s">
        <v>157</v>
      </c>
      <c r="K281" s="135">
        <v>25</v>
      </c>
      <c r="L281" s="135">
        <f>Table1368[[#This Row],[Prix total Achat]]-Table1368[[#This Row],[Prix article]]</f>
        <v>5.73</v>
      </c>
      <c r="M281" s="135">
        <v>30.73</v>
      </c>
      <c r="N281" s="134">
        <v>46186</v>
      </c>
      <c r="O281" s="136">
        <f>(Table1368[[#This Row],[Prix total Achat]]*2)</f>
        <v>61.46</v>
      </c>
      <c r="P281" s="136">
        <f>Table1368[[#This Row],[Prix Min voulu (x2 )]]*1.2</f>
        <v>73.752</v>
      </c>
      <c r="Q281" s="134">
        <v>46192</v>
      </c>
      <c r="R281" s="134">
        <v>46193</v>
      </c>
      <c r="S281" s="135">
        <v>135</v>
      </c>
      <c r="T281" s="134" t="s">
        <v>160</v>
      </c>
      <c r="U281" s="134" t="s">
        <v>157</v>
      </c>
      <c r="V281" s="137">
        <f>IF(ISBLANK(Table1368[[#This Row],[Date réception Achat]]),"",IF(ISBLANK(Table1368[[#This Row],[Date revente]]),TODAY(),Table1368[[#This Row],[Date revente]])-Table1368[[#This Row],[Date réception Achat]])</f>
        <v>7</v>
      </c>
      <c r="W28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1" s="135">
        <f>IF(Table1368[[#This Row],[Prix de revente]]="","",Table1368[[#This Row],[Prix de revente]]-Table1368[[#This Row],[Prix total Achat]])</f>
        <v>104.27</v>
      </c>
      <c r="Y281" s="138">
        <f>IF(Table1368[[#This Row],[Prix de revente]]="","",(Table1368[[#This Row],[Prix de revente]]/Table1368[[#This Row],[Prix total Achat]]))</f>
        <v>4.393101204035145</v>
      </c>
      <c r="Z281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281" s="139">
        <f>IF(ISBLANK(Table1368[[#This Row],[Date relisting]]),"",IF(ISBLANK(Table1368[[#This Row],[Date relisting]]),TODAY(),Table1368[[#This Row],[Date relisting]])-Table1368[[#This Row],[Date réception Achat]])</f>
        <v>6</v>
      </c>
      <c r="AB281" s="139">
        <f>IF(ISBLANK(Table1368[[#This Row],[Date revente]]),"",IF(ISBLANK(Table1368[[#This Row],[Date revente]]),TODAY(),Table1368[[#This Row],[Date revente]])-Table1368[[#This Row],[Date relisting]])</f>
        <v>1</v>
      </c>
      <c r="AC281" s="139">
        <f>IF(ISBLANK(Table1368[[#This Row],[Date revente]]),"",IF(ISBLANK(Table1368[[#This Row],[Date revente]]),TODAY(),Table1368[[#This Row],[Date revente]])-Table1368[[#This Row],[Date réception Achat]])</f>
        <v>7</v>
      </c>
      <c r="AD281" s="139">
        <f>IF(ISBLANK(Table1368[[#This Row],[Date revente]]),"",IF(ISBLANK(Table1368[[#This Row],[Date revente]]),TODAY(),Table1368[[#This Row],[Date revente]])-Table1368[[#This Row],[Date achat]])</f>
        <v>12</v>
      </c>
    </row>
    <row r="282" spans="1:30" x14ac:dyDescent="0.25">
      <c r="A282" s="134">
        <v>46181</v>
      </c>
      <c r="B282" s="141" t="s">
        <v>798</v>
      </c>
      <c r="C282" s="134" t="s">
        <v>799</v>
      </c>
      <c r="D282" s="156" t="s">
        <v>157</v>
      </c>
      <c r="E282" s="156"/>
      <c r="F282" s="156"/>
      <c r="G282" s="134" t="s">
        <v>659</v>
      </c>
      <c r="H282" s="127" t="s">
        <v>178</v>
      </c>
      <c r="I282" s="134" t="s">
        <v>160</v>
      </c>
      <c r="J282" s="134" t="s">
        <v>189</v>
      </c>
      <c r="K282" s="135">
        <v>65</v>
      </c>
      <c r="L282" s="135">
        <f>Table1368[[#This Row],[Prix total Achat]]-Table1368[[#This Row],[Prix article]]</f>
        <v>7.599999999999994</v>
      </c>
      <c r="M282" s="135">
        <v>72.6</v>
      </c>
      <c r="N282" s="134">
        <v>46186</v>
      </c>
      <c r="O282" s="136">
        <f>(Table1368[[#This Row],[Prix total Achat]]*2)</f>
        <v>145.2</v>
      </c>
      <c r="P282" s="136">
        <f>Table1368[[#This Row],[Prix Min voulu (x2 )]]*1.2</f>
        <v>174.23999999999998</v>
      </c>
      <c r="Q282" s="134">
        <v>46192</v>
      </c>
      <c r="R282" s="134">
        <v>46216</v>
      </c>
      <c r="S282" s="135">
        <v>160</v>
      </c>
      <c r="T282" s="134" t="s">
        <v>160</v>
      </c>
      <c r="U282" s="134" t="s">
        <v>157</v>
      </c>
      <c r="V282" s="137">
        <f>IF(ISBLANK(Table1368[[#This Row],[Date réception Achat]]),"",IF(ISBLANK(Table1368[[#This Row],[Date revente]]),TODAY(),Table1368[[#This Row],[Date revente]])-Table1368[[#This Row],[Date réception Achat]])</f>
        <v>30</v>
      </c>
      <c r="W28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2" s="135">
        <f>IF(Table1368[[#This Row],[Prix de revente]]="","",Table1368[[#This Row],[Prix de revente]]-Table1368[[#This Row],[Prix total Achat]])</f>
        <v>87.4</v>
      </c>
      <c r="Y282" s="138">
        <f>IF(Table1368[[#This Row],[Prix de revente]]="","",(Table1368[[#This Row],[Prix de revente]]/Table1368[[#This Row],[Prix total Achat]]))</f>
        <v>2.203856749311295</v>
      </c>
      <c r="Z282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282" s="139">
        <f>IF(ISBLANK(Table1368[[#This Row],[Date relisting]]),"",IF(ISBLANK(Table1368[[#This Row],[Date relisting]]),TODAY(),Table1368[[#This Row],[Date relisting]])-Table1368[[#This Row],[Date réception Achat]])</f>
        <v>6</v>
      </c>
      <c r="AB282" s="139">
        <f>IF(ISBLANK(Table1368[[#This Row],[Date revente]]),"",IF(ISBLANK(Table1368[[#This Row],[Date revente]]),TODAY(),Table1368[[#This Row],[Date revente]])-Table1368[[#This Row],[Date relisting]])</f>
        <v>24</v>
      </c>
      <c r="AC282" s="139">
        <f>IF(ISBLANK(Table1368[[#This Row],[Date revente]]),"",IF(ISBLANK(Table1368[[#This Row],[Date revente]]),TODAY(),Table1368[[#This Row],[Date revente]])-Table1368[[#This Row],[Date réception Achat]])</f>
        <v>30</v>
      </c>
      <c r="AD282" s="139">
        <f>IF(ISBLANK(Table1368[[#This Row],[Date revente]]),"",IF(ISBLANK(Table1368[[#This Row],[Date revente]]),TODAY(),Table1368[[#This Row],[Date revente]])-Table1368[[#This Row],[Date achat]])</f>
        <v>35</v>
      </c>
    </row>
    <row r="283" spans="1:30" x14ac:dyDescent="0.25">
      <c r="A283" s="134">
        <v>46181</v>
      </c>
      <c r="B283" s="141" t="s">
        <v>800</v>
      </c>
      <c r="C283" s="134" t="s">
        <v>801</v>
      </c>
      <c r="D283" s="156" t="s">
        <v>157</v>
      </c>
      <c r="E283" s="156"/>
      <c r="F283" s="156"/>
      <c r="G283" s="134" t="s">
        <v>659</v>
      </c>
      <c r="H283" s="127" t="s">
        <v>178</v>
      </c>
      <c r="I283" s="134" t="s">
        <v>160</v>
      </c>
      <c r="J283" s="134" t="s">
        <v>189</v>
      </c>
      <c r="K283" s="135">
        <v>65</v>
      </c>
      <c r="L283" s="135">
        <f>Table1368[[#This Row],[Prix total Achat]]-Table1368[[#This Row],[Prix article]]</f>
        <v>7.599999999999994</v>
      </c>
      <c r="M283" s="135">
        <v>72.6</v>
      </c>
      <c r="N283" s="134">
        <v>46186</v>
      </c>
      <c r="O283" s="136">
        <f>(Table1368[[#This Row],[Prix total Achat]]*2)</f>
        <v>145.2</v>
      </c>
      <c r="P283" s="136">
        <f>Table1368[[#This Row],[Prix Min voulu (x2 )]]*1.2</f>
        <v>174.23999999999998</v>
      </c>
      <c r="Q283" s="134">
        <v>46192</v>
      </c>
      <c r="R283" s="134">
        <v>46194</v>
      </c>
      <c r="S283" s="135">
        <v>175</v>
      </c>
      <c r="T283" s="134" t="s">
        <v>160</v>
      </c>
      <c r="U283" s="134" t="s">
        <v>157</v>
      </c>
      <c r="V283" s="137">
        <f>IF(ISBLANK(Table1368[[#This Row],[Date réception Achat]]),"",IF(ISBLANK(Table1368[[#This Row],[Date revente]]),TODAY(),Table1368[[#This Row],[Date revente]])-Table1368[[#This Row],[Date réception Achat]])</f>
        <v>8</v>
      </c>
      <c r="W28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3" s="135">
        <f>IF(Table1368[[#This Row],[Prix de revente]]="","",Table1368[[#This Row],[Prix de revente]]-Table1368[[#This Row],[Prix total Achat]])</f>
        <v>102.4</v>
      </c>
      <c r="Y283" s="138">
        <f>IF(Table1368[[#This Row],[Prix de revente]]="","",(Table1368[[#This Row],[Prix de revente]]/Table1368[[#This Row],[Prix total Achat]]))</f>
        <v>2.4104683195592287</v>
      </c>
      <c r="Z283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283" s="139">
        <f>IF(ISBLANK(Table1368[[#This Row],[Date relisting]]),"",IF(ISBLANK(Table1368[[#This Row],[Date relisting]]),TODAY(),Table1368[[#This Row],[Date relisting]])-Table1368[[#This Row],[Date réception Achat]])</f>
        <v>6</v>
      </c>
      <c r="AB283" s="139">
        <f>IF(ISBLANK(Table1368[[#This Row],[Date revente]]),"",IF(ISBLANK(Table1368[[#This Row],[Date revente]]),TODAY(),Table1368[[#This Row],[Date revente]])-Table1368[[#This Row],[Date relisting]])</f>
        <v>2</v>
      </c>
      <c r="AC283" s="139">
        <f>IF(ISBLANK(Table1368[[#This Row],[Date revente]]),"",IF(ISBLANK(Table1368[[#This Row],[Date revente]]),TODAY(),Table1368[[#This Row],[Date revente]])-Table1368[[#This Row],[Date réception Achat]])</f>
        <v>8</v>
      </c>
      <c r="AD283" s="139">
        <f>IF(ISBLANK(Table1368[[#This Row],[Date revente]]),"",IF(ISBLANK(Table1368[[#This Row],[Date revente]]),TODAY(),Table1368[[#This Row],[Date revente]])-Table1368[[#This Row],[Date achat]])</f>
        <v>13</v>
      </c>
    </row>
    <row r="284" spans="1:30" x14ac:dyDescent="0.25">
      <c r="A284" s="134">
        <v>46182</v>
      </c>
      <c r="B284" s="141" t="s">
        <v>802</v>
      </c>
      <c r="C284" s="134" t="s">
        <v>803</v>
      </c>
      <c r="D284" s="156" t="s">
        <v>157</v>
      </c>
      <c r="E284" s="156"/>
      <c r="F284" s="156"/>
      <c r="G284" s="134" t="s">
        <v>804</v>
      </c>
      <c r="H284" s="127" t="s">
        <v>178</v>
      </c>
      <c r="I284" s="134" t="s">
        <v>160</v>
      </c>
      <c r="J284" s="134" t="s">
        <v>157</v>
      </c>
      <c r="K284" s="135">
        <v>20</v>
      </c>
      <c r="L284" s="135">
        <f>Table1368[[#This Row],[Prix total Achat]]-Table1368[[#This Row],[Prix article]]</f>
        <v>4.98</v>
      </c>
      <c r="M284" s="135">
        <v>24.98</v>
      </c>
      <c r="N284" s="134">
        <v>46191</v>
      </c>
      <c r="O284" s="136">
        <f>(Table1368[[#This Row],[Prix total Achat]]*2)</f>
        <v>49.96</v>
      </c>
      <c r="P284" s="136">
        <f>Table1368[[#This Row],[Prix Min voulu (x2 )]]*1.2</f>
        <v>59.952</v>
      </c>
      <c r="Q284" s="134">
        <v>46192</v>
      </c>
      <c r="R284" s="134"/>
      <c r="S284" s="135"/>
      <c r="T284" s="134"/>
      <c r="U284" s="134"/>
      <c r="V284" s="137">
        <f>IF(ISBLANK(Table1368[[#This Row],[Date réception Achat]]),"",IF(ISBLANK(Table1368[[#This Row],[Date revente]]),TODAY(),Table1368[[#This Row],[Date revente]])-Table1368[[#This Row],[Date réception Achat]])</f>
        <v>112</v>
      </c>
      <c r="W28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84" s="135">
        <f>IF(Table1368[[#This Row],[Prix de revente]]="","",Table1368[[#This Row],[Prix de revente]]-Table1368[[#This Row],[Prix total Achat]])</f>
      </c>
      <c r="Y284" s="138">
        <f>IF(Table1368[[#This Row],[Prix de revente]]="","",(Table1368[[#This Row],[Prix de revente]]/Table1368[[#This Row],[Prix total Achat]]))</f>
      </c>
      <c r="Z284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284" s="139">
        <f>IF(ISBLANK(Table1368[[#This Row],[Date relisting]]),"",IF(ISBLANK(Table1368[[#This Row],[Date relisting]]),TODAY(),Table1368[[#This Row],[Date relisting]])-Table1368[[#This Row],[Date réception Achat]])</f>
        <v>1</v>
      </c>
      <c r="AB284" s="139">
        <f>IF(ISBLANK(Table1368[[#This Row],[Date revente]]),"",IF(ISBLANK(Table1368[[#This Row],[Date revente]]),TODAY(),Table1368[[#This Row],[Date revente]])-Table1368[[#This Row],[Date relisting]])</f>
      </c>
      <c r="AC284" s="139">
        <f>IF(ISBLANK(Table1368[[#This Row],[Date revente]]),"",IF(ISBLANK(Table1368[[#This Row],[Date revente]]),TODAY(),Table1368[[#This Row],[Date revente]])-Table1368[[#This Row],[Date réception Achat]])</f>
      </c>
      <c r="AD284" s="139">
        <f>IF(ISBLANK(Table1368[[#This Row],[Date revente]]),"",IF(ISBLANK(Table1368[[#This Row],[Date revente]]),TODAY(),Table1368[[#This Row],[Date revente]])-Table1368[[#This Row],[Date achat]])</f>
      </c>
    </row>
    <row r="285" spans="1:30" x14ac:dyDescent="0.25">
      <c r="A285" s="134">
        <v>46182</v>
      </c>
      <c r="B285" s="146" t="s">
        <v>805</v>
      </c>
      <c r="C285" s="134" t="s">
        <v>806</v>
      </c>
      <c r="D285" s="157" t="s">
        <v>807</v>
      </c>
      <c r="E285" s="157"/>
      <c r="F285" s="157"/>
      <c r="G285" s="147" t="s">
        <v>392</v>
      </c>
      <c r="H285" s="155" t="s">
        <v>194</v>
      </c>
      <c r="I285" s="134" t="s">
        <v>165</v>
      </c>
      <c r="J285" s="134" t="s">
        <v>157</v>
      </c>
      <c r="K285" s="135">
        <v>14.2945</v>
      </c>
      <c r="L285" s="135">
        <f>Table1368[[#This Row],[Prix total Achat]]-Table1368[[#This Row],[Prix article]]</f>
        <v>17.656186666666667</v>
      </c>
      <c r="M285" s="135">
        <v>31.950686666666666</v>
      </c>
      <c r="N285" s="134">
        <v>46191</v>
      </c>
      <c r="O285" s="136">
        <f>(Table1368[[#This Row],[Prix total Achat]]*2)</f>
        <v>63.90137333333333</v>
      </c>
      <c r="P285" s="136">
        <f>Table1368[[#This Row],[Prix Min voulu (x2 )]]*1.2</f>
        <v>76.681648</v>
      </c>
      <c r="Q285" s="134">
        <v>46193</v>
      </c>
      <c r="R285" s="134"/>
      <c r="S285" s="135"/>
      <c r="T285" s="134"/>
      <c r="U285" s="134"/>
      <c r="V285" s="137">
        <f>IF(ISBLANK(Table1368[[#This Row],[Date réception Achat]]),"",IF(ISBLANK(Table1368[[#This Row],[Date revente]]),TODAY(),Table1368[[#This Row],[Date revente]])-Table1368[[#This Row],[Date réception Achat]])</f>
        <v>112</v>
      </c>
      <c r="W28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85" s="135">
        <f>IF(Table1368[[#This Row],[Prix de revente]]="","",Table1368[[#This Row],[Prix de revente]]-Table1368[[#This Row],[Prix total Achat]])</f>
      </c>
      <c r="Y285" s="138">
        <f>IF(Table1368[[#This Row],[Prix de revente]]="","",(Table1368[[#This Row],[Prix de revente]]/Table1368[[#This Row],[Prix total Achat]]))</f>
      </c>
      <c r="Z285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285" s="139">
        <f>IF(ISBLANK(Table1368[[#This Row],[Date relisting]]),"",IF(ISBLANK(Table1368[[#This Row],[Date relisting]]),TODAY(),Table1368[[#This Row],[Date relisting]])-Table1368[[#This Row],[Date réception Achat]])</f>
        <v>2</v>
      </c>
      <c r="AB285" s="139">
        <f>IF(ISBLANK(Table1368[[#This Row],[Date revente]]),"",IF(ISBLANK(Table1368[[#This Row],[Date revente]]),TODAY(),Table1368[[#This Row],[Date revente]])-Table1368[[#This Row],[Date relisting]])</f>
      </c>
      <c r="AC285" s="139">
        <f>IF(ISBLANK(Table1368[[#This Row],[Date revente]]),"",IF(ISBLANK(Table1368[[#This Row],[Date revente]]),TODAY(),Table1368[[#This Row],[Date revente]])-Table1368[[#This Row],[Date réception Achat]])</f>
      </c>
      <c r="AD285" s="139">
        <f>IF(ISBLANK(Table1368[[#This Row],[Date revente]]),"",IF(ISBLANK(Table1368[[#This Row],[Date revente]]),TODAY(),Table1368[[#This Row],[Date revente]])-Table1368[[#This Row],[Date achat]])</f>
      </c>
    </row>
    <row r="286" spans="1:30" x14ac:dyDescent="0.25">
      <c r="A286" s="134">
        <v>46182</v>
      </c>
      <c r="B286" s="146" t="s">
        <v>808</v>
      </c>
      <c r="C286" s="134" t="s">
        <v>809</v>
      </c>
      <c r="D286" s="157" t="s">
        <v>807</v>
      </c>
      <c r="E286" s="157"/>
      <c r="F286" s="157"/>
      <c r="G286" s="147" t="s">
        <v>177</v>
      </c>
      <c r="H286" s="155" t="s">
        <v>810</v>
      </c>
      <c r="I286" s="134" t="s">
        <v>165</v>
      </c>
      <c r="J286" s="134" t="s">
        <v>157</v>
      </c>
      <c r="K286" s="135">
        <v>16.5</v>
      </c>
      <c r="L286" s="135">
        <f>Table1368[[#This Row],[Prix total Achat]]-Table1368[[#This Row],[Prix article]]</f>
        <v>17.65618666666667</v>
      </c>
      <c r="M286" s="135">
        <v>34.15618666666667</v>
      </c>
      <c r="N286" s="134">
        <v>46191</v>
      </c>
      <c r="O286" s="136">
        <f>(Table1368[[#This Row],[Prix total Achat]]*2)</f>
        <v>68.31237333333334</v>
      </c>
      <c r="P286" s="136">
        <f>Table1368[[#This Row],[Prix Min voulu (x2 )]]*1.2</f>
        <v>81.97484800000001</v>
      </c>
      <c r="Q286" s="134">
        <v>46193</v>
      </c>
      <c r="R286" s="134">
        <v>46244</v>
      </c>
      <c r="S286" s="135">
        <v>40</v>
      </c>
      <c r="T286" s="134" t="s">
        <v>160</v>
      </c>
      <c r="U286" s="134" t="s">
        <v>157</v>
      </c>
      <c r="V286" s="137">
        <f>IF(ISBLANK(Table1368[[#This Row],[Date réception Achat]]),"",IF(ISBLANK(Table1368[[#This Row],[Date revente]]),TODAY(),Table1368[[#This Row],[Date revente]])-Table1368[[#This Row],[Date réception Achat]])</f>
        <v>53</v>
      </c>
      <c r="W28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6" s="135">
        <f>IF(Table1368[[#This Row],[Prix de revente]]="","",Table1368[[#This Row],[Prix de revente]]-Table1368[[#This Row],[Prix total Achat]])</f>
        <v>5.84381333333333</v>
      </c>
      <c r="Y286" s="138">
        <f>IF(Table1368[[#This Row],[Prix de revente]]="","",(Table1368[[#This Row],[Prix de revente]]/Table1368[[#This Row],[Prix total Achat]]))</f>
        <v>1.1710909180337852</v>
      </c>
      <c r="Z286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286" s="139">
        <f>IF(ISBLANK(Table1368[[#This Row],[Date relisting]]),"",IF(ISBLANK(Table1368[[#This Row],[Date relisting]]),TODAY(),Table1368[[#This Row],[Date relisting]])-Table1368[[#This Row],[Date réception Achat]])</f>
        <v>2</v>
      </c>
      <c r="AB286" s="139">
        <f>IF(ISBLANK(Table1368[[#This Row],[Date revente]]),"",IF(ISBLANK(Table1368[[#This Row],[Date revente]]),TODAY(),Table1368[[#This Row],[Date revente]])-Table1368[[#This Row],[Date relisting]])</f>
        <v>51</v>
      </c>
      <c r="AC286" s="139">
        <f>IF(ISBLANK(Table1368[[#This Row],[Date revente]]),"",IF(ISBLANK(Table1368[[#This Row],[Date revente]]),TODAY(),Table1368[[#This Row],[Date revente]])-Table1368[[#This Row],[Date réception Achat]])</f>
        <v>53</v>
      </c>
      <c r="AD286" s="139">
        <f>IF(ISBLANK(Table1368[[#This Row],[Date revente]]),"",IF(ISBLANK(Table1368[[#This Row],[Date revente]]),TODAY(),Table1368[[#This Row],[Date revente]])-Table1368[[#This Row],[Date achat]])</f>
        <v>62</v>
      </c>
    </row>
    <row r="287" spans="1:30" x14ac:dyDescent="0.25">
      <c r="A287" s="134">
        <v>46182</v>
      </c>
      <c r="B287" s="146" t="s">
        <v>811</v>
      </c>
      <c r="C287" s="134" t="s">
        <v>812</v>
      </c>
      <c r="D287" s="157" t="s">
        <v>807</v>
      </c>
      <c r="E287" s="157"/>
      <c r="F287" s="157"/>
      <c r="G287" s="147" t="s">
        <v>737</v>
      </c>
      <c r="H287" s="155" t="s">
        <v>813</v>
      </c>
      <c r="I287" s="134" t="s">
        <v>165</v>
      </c>
      <c r="J287" s="134" t="s">
        <v>157</v>
      </c>
      <c r="K287" s="135">
        <v>17.599999999999998</v>
      </c>
      <c r="L287" s="135">
        <f>Table1368[[#This Row],[Prix total Achat]]-Table1368[[#This Row],[Prix article]]</f>
        <v>17.656186666666667</v>
      </c>
      <c r="M287" s="135">
        <v>35.256186666666665</v>
      </c>
      <c r="N287" s="134">
        <v>46191</v>
      </c>
      <c r="O287" s="136">
        <f>(Table1368[[#This Row],[Prix total Achat]]*2)</f>
        <v>70.51237333333333</v>
      </c>
      <c r="P287" s="136">
        <f>Table1368[[#This Row],[Prix Min voulu (x2 )]]*1.2</f>
        <v>84.614848</v>
      </c>
      <c r="Q287" s="134">
        <v>46194</v>
      </c>
      <c r="R287" s="134">
        <v>46193</v>
      </c>
      <c r="S287" s="135">
        <v>90.4</v>
      </c>
      <c r="T287" s="134" t="s">
        <v>814</v>
      </c>
      <c r="U287" s="134" t="s">
        <v>157</v>
      </c>
      <c r="V287" s="137">
        <f>IF(ISBLANK(Table1368[[#This Row],[Date réception Achat]]),"",IF(ISBLANK(Table1368[[#This Row],[Date revente]]),TODAY(),Table1368[[#This Row],[Date revente]])-Table1368[[#This Row],[Date réception Achat]])</f>
        <v>2</v>
      </c>
      <c r="W28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7" s="135">
        <f>IF(Table1368[[#This Row],[Prix de revente]]="","",Table1368[[#This Row],[Prix de revente]]-Table1368[[#This Row],[Prix total Achat]])</f>
        <v>55.14381333333334</v>
      </c>
      <c r="Y287" s="138">
        <f>IF(Table1368[[#This Row],[Prix de revente]]="","",(Table1368[[#This Row],[Prix de revente]]/Table1368[[#This Row],[Prix total Achat]]))</f>
        <v>2.5640889882588933</v>
      </c>
      <c r="Z287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287" s="139">
        <f>IF(ISBLANK(Table1368[[#This Row],[Date relisting]]),"",IF(ISBLANK(Table1368[[#This Row],[Date relisting]]),TODAY(),Table1368[[#This Row],[Date relisting]])-Table1368[[#This Row],[Date réception Achat]])</f>
        <v>3</v>
      </c>
      <c r="AB287" s="139">
        <f>IF(ISBLANK(Table1368[[#This Row],[Date revente]]),"",IF(ISBLANK(Table1368[[#This Row],[Date revente]]),TODAY(),Table1368[[#This Row],[Date revente]])-Table1368[[#This Row],[Date relisting]])</f>
        <v>-1</v>
      </c>
      <c r="AC287" s="139">
        <f>IF(ISBLANK(Table1368[[#This Row],[Date revente]]),"",IF(ISBLANK(Table1368[[#This Row],[Date revente]]),TODAY(),Table1368[[#This Row],[Date revente]])-Table1368[[#This Row],[Date réception Achat]])</f>
        <v>2</v>
      </c>
      <c r="AD287" s="139">
        <f>IF(ISBLANK(Table1368[[#This Row],[Date revente]]),"",IF(ISBLANK(Table1368[[#This Row],[Date revente]]),TODAY(),Table1368[[#This Row],[Date revente]])-Table1368[[#This Row],[Date achat]])</f>
        <v>11</v>
      </c>
    </row>
    <row r="288" spans="1:30" x14ac:dyDescent="0.25">
      <c r="A288" s="134">
        <v>46182</v>
      </c>
      <c r="B288" s="146" t="s">
        <v>815</v>
      </c>
      <c r="C288" s="134" t="s">
        <v>816</v>
      </c>
      <c r="D288" s="157" t="s">
        <v>807</v>
      </c>
      <c r="E288" s="157"/>
      <c r="F288" s="157"/>
      <c r="G288" s="147" t="s">
        <v>817</v>
      </c>
      <c r="H288" s="155" t="s">
        <v>174</v>
      </c>
      <c r="I288" s="134" t="s">
        <v>165</v>
      </c>
      <c r="J288" s="134" t="s">
        <v>157</v>
      </c>
      <c r="K288" s="135">
        <v>39.93</v>
      </c>
      <c r="L288" s="135">
        <f>Table1368[[#This Row],[Prix total Achat]]-Table1368[[#This Row],[Prix article]]</f>
        <v>17.656186666666663</v>
      </c>
      <c r="M288" s="135">
        <v>57.58618666666666</v>
      </c>
      <c r="N288" s="134">
        <v>46191</v>
      </c>
      <c r="O288" s="136">
        <f>(Table1368[[#This Row],[Prix total Achat]]*2)</f>
        <v>115.17237333333333</v>
      </c>
      <c r="P288" s="136">
        <f>Table1368[[#This Row],[Prix Min voulu (x2 )]]*1.2</f>
        <v>138.20684799999998</v>
      </c>
      <c r="Q288" s="134">
        <v>46193</v>
      </c>
      <c r="R288" s="134">
        <v>46202</v>
      </c>
      <c r="S288" s="135">
        <v>115</v>
      </c>
      <c r="T288" s="134" t="s">
        <v>160</v>
      </c>
      <c r="U288" s="134" t="s">
        <v>157</v>
      </c>
      <c r="V288" s="137">
        <f>IF(ISBLANK(Table1368[[#This Row],[Date réception Achat]]),"",IF(ISBLANK(Table1368[[#This Row],[Date revente]]),TODAY(),Table1368[[#This Row],[Date revente]])-Table1368[[#This Row],[Date réception Achat]])</f>
        <v>11</v>
      </c>
      <c r="W28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8" s="135">
        <f>IF(Table1368[[#This Row],[Prix de revente]]="","",Table1368[[#This Row],[Prix de revente]]-Table1368[[#This Row],[Prix total Achat]])</f>
        <v>57.41381333333334</v>
      </c>
      <c r="Y288" s="138">
        <f>IF(Table1368[[#This Row],[Prix de revente]]="","",(Table1368[[#This Row],[Prix de revente]]/Table1368[[#This Row],[Prix total Achat]]))</f>
        <v>1.9970066895672205</v>
      </c>
      <c r="Z288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288" s="139">
        <f>IF(ISBLANK(Table1368[[#This Row],[Date relisting]]),"",IF(ISBLANK(Table1368[[#This Row],[Date relisting]]),TODAY(),Table1368[[#This Row],[Date relisting]])-Table1368[[#This Row],[Date réception Achat]])</f>
        <v>2</v>
      </c>
      <c r="AB288" s="139">
        <f>IF(ISBLANK(Table1368[[#This Row],[Date revente]]),"",IF(ISBLANK(Table1368[[#This Row],[Date revente]]),TODAY(),Table1368[[#This Row],[Date revente]])-Table1368[[#This Row],[Date relisting]])</f>
        <v>9</v>
      </c>
      <c r="AC288" s="139">
        <f>IF(ISBLANK(Table1368[[#This Row],[Date revente]]),"",IF(ISBLANK(Table1368[[#This Row],[Date revente]]),TODAY(),Table1368[[#This Row],[Date revente]])-Table1368[[#This Row],[Date réception Achat]])</f>
        <v>11</v>
      </c>
      <c r="AD288" s="139">
        <f>IF(ISBLANK(Table1368[[#This Row],[Date revente]]),"",IF(ISBLANK(Table1368[[#This Row],[Date revente]]),TODAY(),Table1368[[#This Row],[Date revente]])-Table1368[[#This Row],[Date achat]])</f>
        <v>20</v>
      </c>
    </row>
    <row r="289" spans="1:30" x14ac:dyDescent="0.25">
      <c r="A289" s="134">
        <v>46182</v>
      </c>
      <c r="B289" s="148" t="s">
        <v>818</v>
      </c>
      <c r="C289" s="134" t="s">
        <v>819</v>
      </c>
      <c r="D289" s="157" t="s">
        <v>807</v>
      </c>
      <c r="E289" s="157"/>
      <c r="F289" s="157"/>
      <c r="G289" s="147" t="s">
        <v>163</v>
      </c>
      <c r="H289" s="155" t="s">
        <v>178</v>
      </c>
      <c r="I289" s="134" t="s">
        <v>165</v>
      </c>
      <c r="J289" s="134" t="s">
        <v>157</v>
      </c>
      <c r="K289" s="135">
        <v>12.649999999999999</v>
      </c>
      <c r="L289" s="135">
        <f>Table1368[[#This Row],[Prix total Achat]]-Table1368[[#This Row],[Prix article]]</f>
        <v>17.656186666666667</v>
      </c>
      <c r="M289" s="135">
        <v>30.306186666666665</v>
      </c>
      <c r="N289" s="134">
        <v>46191</v>
      </c>
      <c r="O289" s="136">
        <f>(Table1368[[#This Row],[Prix total Achat]]*2)</f>
        <v>60.61237333333333</v>
      </c>
      <c r="P289" s="136">
        <f>Table1368[[#This Row],[Prix Min voulu (x2 )]]*1.2</f>
        <v>72.734848</v>
      </c>
      <c r="Q289" s="134">
        <v>46194</v>
      </c>
      <c r="R289" s="134">
        <v>46232</v>
      </c>
      <c r="S289" s="135">
        <v>60</v>
      </c>
      <c r="T289" s="134" t="s">
        <v>160</v>
      </c>
      <c r="U289" s="134" t="s">
        <v>157</v>
      </c>
      <c r="V289" s="137">
        <f>IF(ISBLANK(Table1368[[#This Row],[Date réception Achat]]),"",IF(ISBLANK(Table1368[[#This Row],[Date revente]]),TODAY(),Table1368[[#This Row],[Date revente]])-Table1368[[#This Row],[Date réception Achat]])</f>
        <v>41</v>
      </c>
      <c r="W28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89" s="135">
        <f>IF(Table1368[[#This Row],[Prix de revente]]="","",Table1368[[#This Row],[Prix de revente]]-Table1368[[#This Row],[Prix total Achat]])</f>
        <v>29.693813333333335</v>
      </c>
      <c r="Y289" s="138">
        <f>IF(Table1368[[#This Row],[Prix de revente]]="","",(Table1368[[#This Row],[Prix de revente]]/Table1368[[#This Row],[Prix total Achat]]))</f>
        <v>1.9797937846793878</v>
      </c>
      <c r="Z289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289" s="139">
        <f>IF(ISBLANK(Table1368[[#This Row],[Date relisting]]),"",IF(ISBLANK(Table1368[[#This Row],[Date relisting]]),TODAY(),Table1368[[#This Row],[Date relisting]])-Table1368[[#This Row],[Date réception Achat]])</f>
        <v>3</v>
      </c>
      <c r="AB289" s="139">
        <f>IF(ISBLANK(Table1368[[#This Row],[Date revente]]),"",IF(ISBLANK(Table1368[[#This Row],[Date revente]]),TODAY(),Table1368[[#This Row],[Date revente]])-Table1368[[#This Row],[Date relisting]])</f>
        <v>38</v>
      </c>
      <c r="AC289" s="139">
        <f>IF(ISBLANK(Table1368[[#This Row],[Date revente]]),"",IF(ISBLANK(Table1368[[#This Row],[Date revente]]),TODAY(),Table1368[[#This Row],[Date revente]])-Table1368[[#This Row],[Date réception Achat]])</f>
        <v>41</v>
      </c>
      <c r="AD289" s="139">
        <f>IF(ISBLANK(Table1368[[#This Row],[Date revente]]),"",IF(ISBLANK(Table1368[[#This Row],[Date revente]]),TODAY(),Table1368[[#This Row],[Date revente]])-Table1368[[#This Row],[Date achat]])</f>
        <v>50</v>
      </c>
    </row>
    <row r="290" spans="1:30" x14ac:dyDescent="0.25">
      <c r="A290" s="134">
        <v>46182</v>
      </c>
      <c r="B290" s="148" t="s">
        <v>820</v>
      </c>
      <c r="C290" s="134" t="s">
        <v>821</v>
      </c>
      <c r="D290" s="157" t="s">
        <v>807</v>
      </c>
      <c r="E290" s="157"/>
      <c r="F290" s="157"/>
      <c r="G290" s="147" t="s">
        <v>163</v>
      </c>
      <c r="H290" s="155" t="s">
        <v>178</v>
      </c>
      <c r="I290" s="134" t="s">
        <v>165</v>
      </c>
      <c r="J290" s="134" t="s">
        <v>157</v>
      </c>
      <c r="K290" s="135">
        <v>19.4205</v>
      </c>
      <c r="L290" s="135">
        <f>Table1368[[#This Row],[Prix total Achat]]-Table1368[[#This Row],[Prix article]]</f>
        <v>17.656186666666667</v>
      </c>
      <c r="M290" s="135">
        <v>37.07668666666667</v>
      </c>
      <c r="N290" s="134">
        <v>46191</v>
      </c>
      <c r="O290" s="136">
        <f>(Table1368[[#This Row],[Prix total Achat]]*2)</f>
        <v>74.15337333333333</v>
      </c>
      <c r="P290" s="136">
        <f>Table1368[[#This Row],[Prix Min voulu (x2 )]]*1.2</f>
        <v>88.984048</v>
      </c>
      <c r="Q290" s="134">
        <v>46194</v>
      </c>
      <c r="R290" s="134">
        <v>46195</v>
      </c>
      <c r="S290" s="135">
        <v>90</v>
      </c>
      <c r="T290" s="134" t="s">
        <v>814</v>
      </c>
      <c r="U290" s="134" t="s">
        <v>157</v>
      </c>
      <c r="V290" s="137">
        <f>IF(ISBLANK(Table1368[[#This Row],[Date réception Achat]]),"",IF(ISBLANK(Table1368[[#This Row],[Date revente]]),TODAY(),Table1368[[#This Row],[Date revente]])-Table1368[[#This Row],[Date réception Achat]])</f>
        <v>4</v>
      </c>
      <c r="W29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90" s="135">
        <f>IF(Table1368[[#This Row],[Prix de revente]]="","",Table1368[[#This Row],[Prix de revente]]-Table1368[[#This Row],[Prix total Achat]])</f>
        <v>52.92331333333333</v>
      </c>
      <c r="Y290" s="138">
        <f>IF(Table1368[[#This Row],[Prix de revente]]="","",(Table1368[[#This Row],[Prix de revente]]/Table1368[[#This Row],[Prix total Achat]]))</f>
        <v>2.427401369737641</v>
      </c>
      <c r="Z290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290" s="139">
        <f>IF(ISBLANK(Table1368[[#This Row],[Date relisting]]),"",IF(ISBLANK(Table1368[[#This Row],[Date relisting]]),TODAY(),Table1368[[#This Row],[Date relisting]])-Table1368[[#This Row],[Date réception Achat]])</f>
        <v>3</v>
      </c>
      <c r="AB290" s="139">
        <f>IF(ISBLANK(Table1368[[#This Row],[Date revente]]),"",IF(ISBLANK(Table1368[[#This Row],[Date revente]]),TODAY(),Table1368[[#This Row],[Date revente]])-Table1368[[#This Row],[Date relisting]])</f>
        <v>1</v>
      </c>
      <c r="AC290" s="139">
        <f>IF(ISBLANK(Table1368[[#This Row],[Date revente]]),"",IF(ISBLANK(Table1368[[#This Row],[Date revente]]),TODAY(),Table1368[[#This Row],[Date revente]])-Table1368[[#This Row],[Date réception Achat]])</f>
        <v>4</v>
      </c>
      <c r="AD290" s="139">
        <f>IF(ISBLANK(Table1368[[#This Row],[Date revente]]),"",IF(ISBLANK(Table1368[[#This Row],[Date revente]]),TODAY(),Table1368[[#This Row],[Date revente]])-Table1368[[#This Row],[Date achat]])</f>
        <v>13</v>
      </c>
    </row>
    <row r="291" spans="1:30" x14ac:dyDescent="0.25">
      <c r="A291" s="134">
        <v>46182</v>
      </c>
      <c r="B291" s="146" t="s">
        <v>822</v>
      </c>
      <c r="C291" s="134" t="s">
        <v>823</v>
      </c>
      <c r="D291" s="157" t="s">
        <v>824</v>
      </c>
      <c r="E291" s="158">
        <v>768</v>
      </c>
      <c r="F291" s="157" t="s">
        <v>309</v>
      </c>
      <c r="G291" s="147" t="s">
        <v>825</v>
      </c>
      <c r="H291" s="155" t="s">
        <v>414</v>
      </c>
      <c r="I291" s="134" t="s">
        <v>165</v>
      </c>
      <c r="J291" s="134" t="s">
        <v>157</v>
      </c>
      <c r="K291" s="135">
        <v>24.75</v>
      </c>
      <c r="L291" s="135">
        <f>Table1368[[#This Row],[Prix total Achat]]-Table1368[[#This Row],[Prix article]]</f>
        <v>19.096916</v>
      </c>
      <c r="M291" s="135">
        <v>43.846916</v>
      </c>
      <c r="N291" s="134">
        <v>46265</v>
      </c>
      <c r="O291" s="136">
        <f>(Table1368[[#This Row],[Prix total Achat]]*2)</f>
        <v>87.693832</v>
      </c>
      <c r="P291" s="136">
        <f>Table1368[[#This Row],[Prix Min voulu (x2 )]]*1.2</f>
        <v>105.2325984</v>
      </c>
      <c r="Q291" s="134">
        <v>46278</v>
      </c>
      <c r="R291" s="134">
        <v>46277</v>
      </c>
      <c r="S291" s="135">
        <v>115</v>
      </c>
      <c r="T291" s="134" t="s">
        <v>160</v>
      </c>
      <c r="U291" s="134" t="s">
        <v>157</v>
      </c>
      <c r="V291" s="137">
        <f>IF(ISBLANK(Table1368[[#This Row],[Date réception Achat]]),"",IF(ISBLANK(Table1368[[#This Row],[Date revente]]),TODAY(),Table1368[[#This Row],[Date revente]])-Table1368[[#This Row],[Date réception Achat]])</f>
        <v>12</v>
      </c>
      <c r="W29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91" s="135">
        <f>IF(Table1368[[#This Row],[Prix de revente]]="","",Table1368[[#This Row],[Prix de revente]]-Table1368[[#This Row],[Prix total Achat]])</f>
        <v>71.153084</v>
      </c>
      <c r="Y291" s="138">
        <f>IF(Table1368[[#This Row],[Prix de revente]]="","",(Table1368[[#This Row],[Prix de revente]]/Table1368[[#This Row],[Prix total Achat]]))</f>
        <v>2.6227614275083795</v>
      </c>
      <c r="Z291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1" s="139">
        <f>IF(ISBLANK(Table1368[[#This Row],[Date relisting]]),"",IF(ISBLANK(Table1368[[#This Row],[Date relisting]]),TODAY(),Table1368[[#This Row],[Date relisting]])-Table1368[[#This Row],[Date réception Achat]])</f>
        <v>13</v>
      </c>
      <c r="AB291" s="139">
        <f>IF(ISBLANK(Table1368[[#This Row],[Date revente]]),"",IF(ISBLANK(Table1368[[#This Row],[Date revente]]),TODAY(),Table1368[[#This Row],[Date revente]])-Table1368[[#This Row],[Date relisting]])</f>
        <v>-1</v>
      </c>
      <c r="AC291" s="139">
        <f>IF(ISBLANK(Table1368[[#This Row],[Date revente]]),"",IF(ISBLANK(Table1368[[#This Row],[Date revente]]),TODAY(),Table1368[[#This Row],[Date revente]])-Table1368[[#This Row],[Date réception Achat]])</f>
        <v>12</v>
      </c>
      <c r="AD291" s="139">
        <f>IF(ISBLANK(Table1368[[#This Row],[Date revente]]),"",IF(ISBLANK(Table1368[[#This Row],[Date revente]]),TODAY(),Table1368[[#This Row],[Date revente]])-Table1368[[#This Row],[Date achat]])</f>
        <v>95</v>
      </c>
    </row>
    <row r="292" spans="1:30" x14ac:dyDescent="0.25">
      <c r="A292" s="134">
        <v>46182</v>
      </c>
      <c r="B292" s="146" t="s">
        <v>826</v>
      </c>
      <c r="C292" s="134" t="s">
        <v>827</v>
      </c>
      <c r="D292" s="157" t="s">
        <v>824</v>
      </c>
      <c r="E292" s="158">
        <v>914</v>
      </c>
      <c r="F292" s="157" t="s">
        <v>309</v>
      </c>
      <c r="G292" s="147" t="s">
        <v>502</v>
      </c>
      <c r="H292" s="155" t="s">
        <v>279</v>
      </c>
      <c r="I292" s="134" t="s">
        <v>165</v>
      </c>
      <c r="J292" s="134" t="s">
        <v>157</v>
      </c>
      <c r="K292" s="135">
        <v>44</v>
      </c>
      <c r="L292" s="135">
        <f>Table1368[[#This Row],[Prix total Achat]]-Table1368[[#This Row],[Prix article]]</f>
        <v>19.096916</v>
      </c>
      <c r="M292" s="135">
        <v>63.096916</v>
      </c>
      <c r="N292" s="134">
        <v>46265</v>
      </c>
      <c r="O292" s="136">
        <f>(Table1368[[#This Row],[Prix total Achat]]*2)</f>
        <v>126.193832</v>
      </c>
      <c r="P292" s="136">
        <f>Table1368[[#This Row],[Prix Min voulu (x2 )]]*1.2</f>
        <v>151.4325984</v>
      </c>
      <c r="Q292" s="134">
        <v>46278</v>
      </c>
      <c r="R292" s="134"/>
      <c r="S292" s="135"/>
      <c r="T292" s="134"/>
      <c r="U292" s="134" t="s">
        <v>828</v>
      </c>
      <c r="V292" s="137">
        <f>IF(ISBLANK(Table1368[[#This Row],[Date réception Achat]]),"",IF(ISBLANK(Table1368[[#This Row],[Date revente]]),TODAY(),Table1368[[#This Row],[Date revente]])-Table1368[[#This Row],[Date réception Achat]])</f>
        <v>38</v>
      </c>
      <c r="W29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92" s="135">
        <f>IF(Table1368[[#This Row],[Prix de revente]]="","",Table1368[[#This Row],[Prix de revente]]-Table1368[[#This Row],[Prix total Achat]])</f>
      </c>
      <c r="Y292" s="138">
        <f>IF(Table1368[[#This Row],[Prix de revente]]="","",(Table1368[[#This Row],[Prix de revente]]/Table1368[[#This Row],[Prix total Achat]]))</f>
      </c>
      <c r="Z292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2" s="139">
        <f>IF(ISBLANK(Table1368[[#This Row],[Date relisting]]),"",IF(ISBLANK(Table1368[[#This Row],[Date relisting]]),TODAY(),Table1368[[#This Row],[Date relisting]])-Table1368[[#This Row],[Date réception Achat]])</f>
        <v>13</v>
      </c>
      <c r="AB292" s="139">
        <f>IF(ISBLANK(Table1368[[#This Row],[Date revente]]),"",IF(ISBLANK(Table1368[[#This Row],[Date revente]]),TODAY(),Table1368[[#This Row],[Date revente]])-Table1368[[#This Row],[Date relisting]])</f>
      </c>
      <c r="AC292" s="139">
        <f>IF(ISBLANK(Table1368[[#This Row],[Date revente]]),"",IF(ISBLANK(Table1368[[#This Row],[Date revente]]),TODAY(),Table1368[[#This Row],[Date revente]])-Table1368[[#This Row],[Date réception Achat]])</f>
      </c>
      <c r="AD292" s="139">
        <f>IF(ISBLANK(Table1368[[#This Row],[Date revente]]),"",IF(ISBLANK(Table1368[[#This Row],[Date revente]]),TODAY(),Table1368[[#This Row],[Date revente]])-Table1368[[#This Row],[Date achat]])</f>
      </c>
    </row>
    <row r="293" spans="1:30" x14ac:dyDescent="0.25">
      <c r="A293" s="134">
        <v>46182</v>
      </c>
      <c r="B293" s="146" t="s">
        <v>829</v>
      </c>
      <c r="C293" s="134" t="s">
        <v>830</v>
      </c>
      <c r="D293" s="157" t="s">
        <v>824</v>
      </c>
      <c r="E293" s="158">
        <v>572</v>
      </c>
      <c r="F293" s="157" t="s">
        <v>309</v>
      </c>
      <c r="G293" s="147" t="s">
        <v>831</v>
      </c>
      <c r="H293" s="155" t="s">
        <v>178</v>
      </c>
      <c r="I293" s="134" t="s">
        <v>165</v>
      </c>
      <c r="J293" s="134" t="s">
        <v>157</v>
      </c>
      <c r="K293" s="135">
        <v>27.5</v>
      </c>
      <c r="L293" s="135">
        <f>Table1368[[#This Row],[Prix total Achat]]-Table1368[[#This Row],[Prix article]]</f>
        <v>19.096916</v>
      </c>
      <c r="M293" s="135">
        <v>46.596916</v>
      </c>
      <c r="N293" s="134">
        <v>46265</v>
      </c>
      <c r="O293" s="136">
        <f>(Table1368[[#This Row],[Prix total Achat]]*2)</f>
        <v>93.193832</v>
      </c>
      <c r="P293" s="136">
        <f>Table1368[[#This Row],[Prix Min voulu (x2 )]]*1.2</f>
        <v>111.8325984</v>
      </c>
      <c r="Q293" s="134">
        <v>46278</v>
      </c>
      <c r="R293" s="134">
        <v>46295</v>
      </c>
      <c r="S293" s="135">
        <v>100</v>
      </c>
      <c r="T293" s="134" t="s">
        <v>160</v>
      </c>
      <c r="U293" s="134" t="s">
        <v>157</v>
      </c>
      <c r="V293" s="137">
        <f>IF(ISBLANK(Table1368[[#This Row],[Date réception Achat]]),"",IF(ISBLANK(Table1368[[#This Row],[Date revente]]),TODAY(),Table1368[[#This Row],[Date revente]])-Table1368[[#This Row],[Date réception Achat]])</f>
        <v>30</v>
      </c>
      <c r="W29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93" s="135">
        <f>IF(Table1368[[#This Row],[Prix de revente]]="","",Table1368[[#This Row],[Prix de revente]]-Table1368[[#This Row],[Prix total Achat]])</f>
        <v>53.403084</v>
      </c>
      <c r="Y293" s="138">
        <f>IF(Table1368[[#This Row],[Prix de revente]]="","",(Table1368[[#This Row],[Prix de revente]]/Table1368[[#This Row],[Prix total Achat]]))</f>
        <v>2.146064773900487</v>
      </c>
      <c r="Z293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3" s="139">
        <f>IF(ISBLANK(Table1368[[#This Row],[Date relisting]]),"",IF(ISBLANK(Table1368[[#This Row],[Date relisting]]),TODAY(),Table1368[[#This Row],[Date relisting]])-Table1368[[#This Row],[Date réception Achat]])</f>
        <v>13</v>
      </c>
      <c r="AB293" s="139">
        <f>IF(ISBLANK(Table1368[[#This Row],[Date revente]]),"",IF(ISBLANK(Table1368[[#This Row],[Date revente]]),TODAY(),Table1368[[#This Row],[Date revente]])-Table1368[[#This Row],[Date relisting]])</f>
        <v>17</v>
      </c>
      <c r="AC293" s="139">
        <f>IF(ISBLANK(Table1368[[#This Row],[Date revente]]),"",IF(ISBLANK(Table1368[[#This Row],[Date revente]]),TODAY(),Table1368[[#This Row],[Date revente]])-Table1368[[#This Row],[Date réception Achat]])</f>
        <v>30</v>
      </c>
      <c r="AD293" s="139">
        <f>IF(ISBLANK(Table1368[[#This Row],[Date revente]]),"",IF(ISBLANK(Table1368[[#This Row],[Date revente]]),TODAY(),Table1368[[#This Row],[Date revente]])-Table1368[[#This Row],[Date achat]])</f>
        <v>113</v>
      </c>
    </row>
    <row r="294" spans="1:30" x14ac:dyDescent="0.25">
      <c r="A294" s="134">
        <v>46182</v>
      </c>
      <c r="B294" s="146" t="s">
        <v>832</v>
      </c>
      <c r="C294" s="134" t="s">
        <v>833</v>
      </c>
      <c r="D294" s="157" t="s">
        <v>824</v>
      </c>
      <c r="E294" s="158">
        <v>620</v>
      </c>
      <c r="F294" s="157" t="s">
        <v>309</v>
      </c>
      <c r="G294" s="147" t="s">
        <v>682</v>
      </c>
      <c r="H294" s="155" t="s">
        <v>834</v>
      </c>
      <c r="I294" s="134" t="s">
        <v>165</v>
      </c>
      <c r="J294" s="134" t="s">
        <v>157</v>
      </c>
      <c r="K294" s="135">
        <v>16.5</v>
      </c>
      <c r="L294" s="135">
        <f>Table1368[[#This Row],[Prix total Achat]]-Table1368[[#This Row],[Prix article]]</f>
        <v>19.096916</v>
      </c>
      <c r="M294" s="135">
        <v>35.596916</v>
      </c>
      <c r="N294" s="134">
        <v>46265</v>
      </c>
      <c r="O294" s="136">
        <f>(Table1368[[#This Row],[Prix total Achat]]*2)</f>
        <v>71.193832</v>
      </c>
      <c r="P294" s="136">
        <f>Table1368[[#This Row],[Prix Min voulu (x2 )]]*1.2</f>
        <v>85.4325984</v>
      </c>
      <c r="Q294" s="134">
        <v>46278</v>
      </c>
      <c r="R294" s="134"/>
      <c r="S294" s="135"/>
      <c r="T294" s="134"/>
      <c r="U294" s="134" t="s">
        <v>157</v>
      </c>
      <c r="V294" s="137">
        <f>IF(ISBLANK(Table1368[[#This Row],[Date réception Achat]]),"",IF(ISBLANK(Table1368[[#This Row],[Date revente]]),TODAY(),Table1368[[#This Row],[Date revente]])-Table1368[[#This Row],[Date réception Achat]])</f>
        <v>38</v>
      </c>
      <c r="W29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94" s="135">
        <f>IF(Table1368[[#This Row],[Prix de revente]]="","",Table1368[[#This Row],[Prix de revente]]-Table1368[[#This Row],[Prix total Achat]])</f>
      </c>
      <c r="Y294" s="138">
        <f>IF(Table1368[[#This Row],[Prix de revente]]="","",(Table1368[[#This Row],[Prix de revente]]/Table1368[[#This Row],[Prix total Achat]]))</f>
      </c>
      <c r="Z294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4" s="139">
        <f>IF(ISBLANK(Table1368[[#This Row],[Date relisting]]),"",IF(ISBLANK(Table1368[[#This Row],[Date relisting]]),TODAY(),Table1368[[#This Row],[Date relisting]])-Table1368[[#This Row],[Date réception Achat]])</f>
        <v>13</v>
      </c>
      <c r="AB294" s="139">
        <f>IF(ISBLANK(Table1368[[#This Row],[Date revente]]),"",IF(ISBLANK(Table1368[[#This Row],[Date revente]]),TODAY(),Table1368[[#This Row],[Date revente]])-Table1368[[#This Row],[Date relisting]])</f>
      </c>
      <c r="AC294" s="139">
        <f>IF(ISBLANK(Table1368[[#This Row],[Date revente]]),"",IF(ISBLANK(Table1368[[#This Row],[Date revente]]),TODAY(),Table1368[[#This Row],[Date revente]])-Table1368[[#This Row],[Date réception Achat]])</f>
      </c>
      <c r="AD294" s="139">
        <f>IF(ISBLANK(Table1368[[#This Row],[Date revente]]),"",IF(ISBLANK(Table1368[[#This Row],[Date revente]]),TODAY(),Table1368[[#This Row],[Date revente]])-Table1368[[#This Row],[Date achat]])</f>
      </c>
    </row>
    <row r="295" spans="1:30" x14ac:dyDescent="0.25">
      <c r="A295" s="134">
        <v>46182</v>
      </c>
      <c r="B295" s="148" t="s">
        <v>835</v>
      </c>
      <c r="C295" s="134" t="s">
        <v>836</v>
      </c>
      <c r="D295" s="157" t="s">
        <v>824</v>
      </c>
      <c r="E295" s="158">
        <v>824</v>
      </c>
      <c r="F295" s="157" t="s">
        <v>309</v>
      </c>
      <c r="G295" s="147" t="s">
        <v>616</v>
      </c>
      <c r="H295" s="155" t="s">
        <v>287</v>
      </c>
      <c r="I295" s="134" t="s">
        <v>165</v>
      </c>
      <c r="J295" s="134" t="s">
        <v>157</v>
      </c>
      <c r="K295" s="135">
        <v>38.5</v>
      </c>
      <c r="L295" s="135">
        <f>Table1368[[#This Row],[Prix total Achat]]-Table1368[[#This Row],[Prix article]]</f>
        <v>19.096916</v>
      </c>
      <c r="M295" s="135">
        <v>57.596916</v>
      </c>
      <c r="N295" s="134">
        <v>46265</v>
      </c>
      <c r="O295" s="136">
        <f>(Table1368[[#This Row],[Prix total Achat]]*2)</f>
        <v>115.193832</v>
      </c>
      <c r="P295" s="136">
        <f>Table1368[[#This Row],[Prix Min voulu (x2 )]]*1.2</f>
        <v>138.2325984</v>
      </c>
      <c r="Q295" s="134">
        <v>46278</v>
      </c>
      <c r="R295" s="134"/>
      <c r="S295" s="135"/>
      <c r="T295" s="134"/>
      <c r="U295" s="134" t="s">
        <v>157</v>
      </c>
      <c r="V295" s="137">
        <f>IF(ISBLANK(Table1368[[#This Row],[Date réception Achat]]),"",IF(ISBLANK(Table1368[[#This Row],[Date revente]]),TODAY(),Table1368[[#This Row],[Date revente]])-Table1368[[#This Row],[Date réception Achat]])</f>
        <v>38</v>
      </c>
      <c r="W29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95" s="135">
        <f>IF(Table1368[[#This Row],[Prix de revente]]="","",Table1368[[#This Row],[Prix de revente]]-Table1368[[#This Row],[Prix total Achat]])</f>
      </c>
      <c r="Y295" s="138">
        <f>IF(Table1368[[#This Row],[Prix de revente]]="","",(Table1368[[#This Row],[Prix de revente]]/Table1368[[#This Row],[Prix total Achat]]))</f>
      </c>
      <c r="Z295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5" s="139">
        <f>IF(ISBLANK(Table1368[[#This Row],[Date relisting]]),"",IF(ISBLANK(Table1368[[#This Row],[Date relisting]]),TODAY(),Table1368[[#This Row],[Date relisting]])-Table1368[[#This Row],[Date réception Achat]])</f>
        <v>13</v>
      </c>
      <c r="AB295" s="139">
        <f>IF(ISBLANK(Table1368[[#This Row],[Date revente]]),"",IF(ISBLANK(Table1368[[#This Row],[Date revente]]),TODAY(),Table1368[[#This Row],[Date revente]])-Table1368[[#This Row],[Date relisting]])</f>
      </c>
      <c r="AC295" s="139">
        <f>IF(ISBLANK(Table1368[[#This Row],[Date revente]]),"",IF(ISBLANK(Table1368[[#This Row],[Date revente]]),TODAY(),Table1368[[#This Row],[Date revente]])-Table1368[[#This Row],[Date réception Achat]])</f>
      </c>
      <c r="AD295" s="139">
        <f>IF(ISBLANK(Table1368[[#This Row],[Date revente]]),"",IF(ISBLANK(Table1368[[#This Row],[Date revente]]),TODAY(),Table1368[[#This Row],[Date revente]])-Table1368[[#This Row],[Date achat]])</f>
      </c>
    </row>
    <row r="296" spans="1:30" x14ac:dyDescent="0.25">
      <c r="A296" s="134">
        <v>46183</v>
      </c>
      <c r="B296" s="146" t="s">
        <v>837</v>
      </c>
      <c r="C296" s="134" t="s">
        <v>838</v>
      </c>
      <c r="D296" s="157" t="s">
        <v>839</v>
      </c>
      <c r="E296" s="158">
        <v>488</v>
      </c>
      <c r="F296" s="157" t="s">
        <v>765</v>
      </c>
      <c r="G296" s="147" t="s">
        <v>682</v>
      </c>
      <c r="H296" s="155" t="s">
        <v>164</v>
      </c>
      <c r="I296" s="134" t="s">
        <v>165</v>
      </c>
      <c r="J296" s="134" t="s">
        <v>157</v>
      </c>
      <c r="K296" s="135">
        <v>8.799999999999999</v>
      </c>
      <c r="L296" s="135">
        <f>Table1368[[#This Row],[Prix total Achat]]-Table1368[[#This Row],[Prix article]]</f>
        <v>15.919703333333329</v>
      </c>
      <c r="M296" s="135">
        <v>24.719703333333328</v>
      </c>
      <c r="N296" s="134">
        <v>46266</v>
      </c>
      <c r="O296" s="136">
        <f>(Table1368[[#This Row],[Prix total Achat]]*2)</f>
        <v>49.439406666666656</v>
      </c>
      <c r="P296" s="136">
        <f>Table1368[[#This Row],[Prix Min voulu (x2 )]]*1.2</f>
        <v>59.32728799999998</v>
      </c>
      <c r="Q296" s="134">
        <v>46289</v>
      </c>
      <c r="R296" s="134">
        <v>46291</v>
      </c>
      <c r="S296" s="135">
        <v>79</v>
      </c>
      <c r="T296" s="134" t="s">
        <v>160</v>
      </c>
      <c r="U296" s="134" t="s">
        <v>157</v>
      </c>
      <c r="V296" s="137">
        <f>IF(ISBLANK(Table1368[[#This Row],[Date réception Achat]]),"",IF(ISBLANK(Table1368[[#This Row],[Date revente]]),TODAY(),Table1368[[#This Row],[Date revente]])-Table1368[[#This Row],[Date réception Achat]])</f>
        <v>25</v>
      </c>
      <c r="W29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96" s="135">
        <f>IF(Table1368[[#This Row],[Prix de revente]]="","",Table1368[[#This Row],[Prix de revente]]-Table1368[[#This Row],[Prix total Achat]])</f>
        <v>54.28029666666667</v>
      </c>
      <c r="Y296" s="138">
        <f>IF(Table1368[[#This Row],[Prix de revente]]="","",(Table1368[[#This Row],[Prix de revente]]/Table1368[[#This Row],[Prix total Achat]]))</f>
        <v>3.1958312336812034</v>
      </c>
      <c r="Z296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6" s="139">
        <f>IF(ISBLANK(Table1368[[#This Row],[Date relisting]]),"",IF(ISBLANK(Table1368[[#This Row],[Date relisting]]),TODAY(),Table1368[[#This Row],[Date relisting]])-Table1368[[#This Row],[Date réception Achat]])</f>
        <v>23</v>
      </c>
      <c r="AB296" s="139">
        <f>IF(ISBLANK(Table1368[[#This Row],[Date revente]]),"",IF(ISBLANK(Table1368[[#This Row],[Date revente]]),TODAY(),Table1368[[#This Row],[Date revente]])-Table1368[[#This Row],[Date relisting]])</f>
        <v>2</v>
      </c>
      <c r="AC296" s="139">
        <f>IF(ISBLANK(Table1368[[#This Row],[Date revente]]),"",IF(ISBLANK(Table1368[[#This Row],[Date revente]]),TODAY(),Table1368[[#This Row],[Date revente]])-Table1368[[#This Row],[Date réception Achat]])</f>
        <v>25</v>
      </c>
      <c r="AD296" s="139">
        <f>IF(ISBLANK(Table1368[[#This Row],[Date revente]]),"",IF(ISBLANK(Table1368[[#This Row],[Date revente]]),TODAY(),Table1368[[#This Row],[Date revente]])-Table1368[[#This Row],[Date achat]])</f>
        <v>108</v>
      </c>
    </row>
    <row r="297" spans="1:30" x14ac:dyDescent="0.25">
      <c r="A297" s="134">
        <v>46183</v>
      </c>
      <c r="B297" s="146" t="s">
        <v>840</v>
      </c>
      <c r="C297" s="134" t="s">
        <v>841</v>
      </c>
      <c r="D297" s="157" t="s">
        <v>839</v>
      </c>
      <c r="E297" s="158">
        <v>388</v>
      </c>
      <c r="F297" s="157" t="s">
        <v>765</v>
      </c>
      <c r="G297" s="147" t="s">
        <v>682</v>
      </c>
      <c r="H297" s="155" t="s">
        <v>178</v>
      </c>
      <c r="I297" s="134" t="s">
        <v>165</v>
      </c>
      <c r="J297" s="134" t="s">
        <v>157</v>
      </c>
      <c r="K297" s="135">
        <v>15.399999999999999</v>
      </c>
      <c r="L297" s="135">
        <f>Table1368[[#This Row],[Prix total Achat]]-Table1368[[#This Row],[Prix article]]</f>
        <v>15.91970333333333</v>
      </c>
      <c r="M297" s="135">
        <v>31.31970333333333</v>
      </c>
      <c r="N297" s="134">
        <v>46266</v>
      </c>
      <c r="O297" s="136">
        <f>(Table1368[[#This Row],[Prix total Achat]]*2)</f>
        <v>62.63940666666666</v>
      </c>
      <c r="P297" s="136">
        <f>Table1368[[#This Row],[Prix Min voulu (x2 )]]*1.2</f>
        <v>75.16728799999999</v>
      </c>
      <c r="Q297" s="134">
        <v>46289</v>
      </c>
      <c r="R297" s="134"/>
      <c r="S297" s="135"/>
      <c r="T297" s="134"/>
      <c r="U297" s="134" t="s">
        <v>157</v>
      </c>
      <c r="V297" s="137">
        <f>IF(ISBLANK(Table1368[[#This Row],[Date réception Achat]]),"",IF(ISBLANK(Table1368[[#This Row],[Date revente]]),TODAY(),Table1368[[#This Row],[Date revente]])-Table1368[[#This Row],[Date réception Achat]])</f>
        <v>37</v>
      </c>
      <c r="W29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97" s="135">
        <f>IF(Table1368[[#This Row],[Prix de revente]]="","",Table1368[[#This Row],[Prix de revente]]-Table1368[[#This Row],[Prix total Achat]])</f>
      </c>
      <c r="Y297" s="138">
        <f>IF(Table1368[[#This Row],[Prix de revente]]="","",(Table1368[[#This Row],[Prix de revente]]/Table1368[[#This Row],[Prix total Achat]]))</f>
      </c>
      <c r="Z297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7" s="139">
        <f>IF(ISBLANK(Table1368[[#This Row],[Date relisting]]),"",IF(ISBLANK(Table1368[[#This Row],[Date relisting]]),TODAY(),Table1368[[#This Row],[Date relisting]])-Table1368[[#This Row],[Date réception Achat]])</f>
        <v>23</v>
      </c>
      <c r="AB297" s="139">
        <f>IF(ISBLANK(Table1368[[#This Row],[Date revente]]),"",IF(ISBLANK(Table1368[[#This Row],[Date revente]]),TODAY(),Table1368[[#This Row],[Date revente]])-Table1368[[#This Row],[Date relisting]])</f>
      </c>
      <c r="AC297" s="139">
        <f>IF(ISBLANK(Table1368[[#This Row],[Date revente]]),"",IF(ISBLANK(Table1368[[#This Row],[Date revente]]),TODAY(),Table1368[[#This Row],[Date revente]])-Table1368[[#This Row],[Date réception Achat]])</f>
      </c>
      <c r="AD297" s="139">
        <f>IF(ISBLANK(Table1368[[#This Row],[Date revente]]),"",IF(ISBLANK(Table1368[[#This Row],[Date revente]]),TODAY(),Table1368[[#This Row],[Date revente]])-Table1368[[#This Row],[Date achat]])</f>
      </c>
    </row>
    <row r="298" spans="1:30" x14ac:dyDescent="0.25">
      <c r="A298" s="134">
        <v>46183</v>
      </c>
      <c r="B298" s="146" t="s">
        <v>842</v>
      </c>
      <c r="C298" s="134" t="s">
        <v>843</v>
      </c>
      <c r="D298" s="157" t="s">
        <v>839</v>
      </c>
      <c r="E298" s="158">
        <v>334</v>
      </c>
      <c r="F298" s="157" t="s">
        <v>765</v>
      </c>
      <c r="G298" s="147" t="s">
        <v>386</v>
      </c>
      <c r="H298" s="155" t="s">
        <v>178</v>
      </c>
      <c r="I298" s="134" t="s">
        <v>165</v>
      </c>
      <c r="J298" s="134" t="s">
        <v>157</v>
      </c>
      <c r="K298" s="135">
        <v>11</v>
      </c>
      <c r="L298" s="135">
        <f>Table1368[[#This Row],[Prix total Achat]]-Table1368[[#This Row],[Prix article]]</f>
        <v>15.91970333333333</v>
      </c>
      <c r="M298" s="135">
        <v>26.91970333333333</v>
      </c>
      <c r="N298" s="134">
        <v>46266</v>
      </c>
      <c r="O298" s="136">
        <f>(Table1368[[#This Row],[Prix total Achat]]*2)</f>
        <v>53.83940666666666</v>
      </c>
      <c r="P298" s="136">
        <f>Table1368[[#This Row],[Prix Min voulu (x2 )]]*1.2</f>
        <v>64.607288</v>
      </c>
      <c r="Q298" s="134">
        <v>46290</v>
      </c>
      <c r="R298" s="134"/>
      <c r="S298" s="135"/>
      <c r="T298" s="134"/>
      <c r="U298" s="134" t="s">
        <v>157</v>
      </c>
      <c r="V298" s="137">
        <f>IF(ISBLANK(Table1368[[#This Row],[Date réception Achat]]),"",IF(ISBLANK(Table1368[[#This Row],[Date revente]]),TODAY(),Table1368[[#This Row],[Date revente]])-Table1368[[#This Row],[Date réception Achat]])</f>
        <v>37</v>
      </c>
      <c r="W29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298" s="135">
        <f>IF(Table1368[[#This Row],[Prix de revente]]="","",Table1368[[#This Row],[Prix de revente]]-Table1368[[#This Row],[Prix total Achat]])</f>
      </c>
      <c r="Y298" s="138">
        <f>IF(Table1368[[#This Row],[Prix de revente]]="","",(Table1368[[#This Row],[Prix de revente]]/Table1368[[#This Row],[Prix total Achat]]))</f>
      </c>
      <c r="Z298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8" s="139">
        <f>IF(ISBLANK(Table1368[[#This Row],[Date relisting]]),"",IF(ISBLANK(Table1368[[#This Row],[Date relisting]]),TODAY(),Table1368[[#This Row],[Date relisting]])-Table1368[[#This Row],[Date réception Achat]])</f>
        <v>24</v>
      </c>
      <c r="AB298" s="139">
        <f>IF(ISBLANK(Table1368[[#This Row],[Date revente]]),"",IF(ISBLANK(Table1368[[#This Row],[Date revente]]),TODAY(),Table1368[[#This Row],[Date revente]])-Table1368[[#This Row],[Date relisting]])</f>
      </c>
      <c r="AC298" s="139">
        <f>IF(ISBLANK(Table1368[[#This Row],[Date revente]]),"",IF(ISBLANK(Table1368[[#This Row],[Date revente]]),TODAY(),Table1368[[#This Row],[Date revente]])-Table1368[[#This Row],[Date réception Achat]])</f>
      </c>
      <c r="AD298" s="139">
        <f>IF(ISBLANK(Table1368[[#This Row],[Date revente]]),"",IF(ISBLANK(Table1368[[#This Row],[Date revente]]),TODAY(),Table1368[[#This Row],[Date revente]])-Table1368[[#This Row],[Date achat]])</f>
      </c>
    </row>
    <row r="299" spans="1:30" x14ac:dyDescent="0.25">
      <c r="A299" s="134">
        <v>46183</v>
      </c>
      <c r="B299" s="146" t="s">
        <v>844</v>
      </c>
      <c r="C299" s="134" t="s">
        <v>845</v>
      </c>
      <c r="D299" s="157" t="s">
        <v>839</v>
      </c>
      <c r="E299" s="158">
        <v>1376</v>
      </c>
      <c r="F299" s="157" t="s">
        <v>305</v>
      </c>
      <c r="G299" s="147" t="s">
        <v>392</v>
      </c>
      <c r="H299" s="155" t="s">
        <v>178</v>
      </c>
      <c r="I299" s="134" t="s">
        <v>165</v>
      </c>
      <c r="J299" s="134" t="s">
        <v>157</v>
      </c>
      <c r="K299" s="135">
        <v>24.75</v>
      </c>
      <c r="L299" s="135">
        <f>Table1368[[#This Row],[Prix total Achat]]-Table1368[[#This Row],[Prix article]]</f>
        <v>15.91970333333333</v>
      </c>
      <c r="M299" s="135">
        <v>40.66970333333333</v>
      </c>
      <c r="N299" s="134">
        <v>46266</v>
      </c>
      <c r="O299" s="136">
        <f>(Table1368[[#This Row],[Prix total Achat]]*2)</f>
        <v>81.33940666666666</v>
      </c>
      <c r="P299" s="136">
        <f>Table1368[[#This Row],[Prix Min voulu (x2 )]]*1.2</f>
        <v>97.607288</v>
      </c>
      <c r="Q299" s="134">
        <v>46290</v>
      </c>
      <c r="R299" s="134">
        <v>46296</v>
      </c>
      <c r="S299" s="135">
        <v>125</v>
      </c>
      <c r="T299" s="134" t="s">
        <v>160</v>
      </c>
      <c r="U299" s="134" t="s">
        <v>157</v>
      </c>
      <c r="V299" s="137">
        <f>IF(ISBLANK(Table1368[[#This Row],[Date réception Achat]]),"",IF(ISBLANK(Table1368[[#This Row],[Date revente]]),TODAY(),Table1368[[#This Row],[Date revente]])-Table1368[[#This Row],[Date réception Achat]])</f>
        <v>30</v>
      </c>
      <c r="W29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299" s="135">
        <f>IF(Table1368[[#This Row],[Prix de revente]]="","",Table1368[[#This Row],[Prix de revente]]-Table1368[[#This Row],[Prix total Achat]])</f>
        <v>84.33029666666667</v>
      </c>
      <c r="Y299" s="138">
        <f>IF(Table1368[[#This Row],[Prix de revente]]="","",(Table1368[[#This Row],[Prix de revente]]/Table1368[[#This Row],[Prix total Achat]]))</f>
        <v>3.0735409839478383</v>
      </c>
      <c r="Z299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299" s="139">
        <f>IF(ISBLANK(Table1368[[#This Row],[Date relisting]]),"",IF(ISBLANK(Table1368[[#This Row],[Date relisting]]),TODAY(),Table1368[[#This Row],[Date relisting]])-Table1368[[#This Row],[Date réception Achat]])</f>
        <v>24</v>
      </c>
      <c r="AB299" s="139">
        <f>IF(ISBLANK(Table1368[[#This Row],[Date revente]]),"",IF(ISBLANK(Table1368[[#This Row],[Date revente]]),TODAY(),Table1368[[#This Row],[Date revente]])-Table1368[[#This Row],[Date relisting]])</f>
        <v>6</v>
      </c>
      <c r="AC299" s="139">
        <f>IF(ISBLANK(Table1368[[#This Row],[Date revente]]),"",IF(ISBLANK(Table1368[[#This Row],[Date revente]]),TODAY(),Table1368[[#This Row],[Date revente]])-Table1368[[#This Row],[Date réception Achat]])</f>
        <v>30</v>
      </c>
      <c r="AD299" s="139">
        <f>IF(ISBLANK(Table1368[[#This Row],[Date revente]]),"",IF(ISBLANK(Table1368[[#This Row],[Date revente]]),TODAY(),Table1368[[#This Row],[Date revente]])-Table1368[[#This Row],[Date achat]])</f>
        <v>113</v>
      </c>
    </row>
    <row r="300" spans="1:30" x14ac:dyDescent="0.25">
      <c r="A300" s="134">
        <v>46183</v>
      </c>
      <c r="B300" s="148" t="s">
        <v>846</v>
      </c>
      <c r="C300" s="134" t="s">
        <v>847</v>
      </c>
      <c r="D300" s="157" t="s">
        <v>839</v>
      </c>
      <c r="E300" s="158">
        <v>452</v>
      </c>
      <c r="F300" s="157" t="s">
        <v>765</v>
      </c>
      <c r="G300" s="147" t="s">
        <v>502</v>
      </c>
      <c r="H300" s="155" t="s">
        <v>557</v>
      </c>
      <c r="I300" s="134" t="s">
        <v>165</v>
      </c>
      <c r="J300" s="134" t="s">
        <v>157</v>
      </c>
      <c r="K300" s="135">
        <v>39.93</v>
      </c>
      <c r="L300" s="135">
        <f>Table1368[[#This Row],[Prix total Achat]]-Table1368[[#This Row],[Prix article]]</f>
        <v>15.91970333333333</v>
      </c>
      <c r="M300" s="135">
        <v>55.84970333333333</v>
      </c>
      <c r="N300" s="134">
        <v>46266</v>
      </c>
      <c r="O300" s="136">
        <f>(Table1368[[#This Row],[Prix total Achat]]*2)</f>
        <v>111.69940666666666</v>
      </c>
      <c r="P300" s="136">
        <f>Table1368[[#This Row],[Prix Min voulu (x2 )]]*1.2</f>
        <v>134.039288</v>
      </c>
      <c r="Q300" s="134">
        <v>46289</v>
      </c>
      <c r="R300" s="134"/>
      <c r="S300" s="135"/>
      <c r="T300" s="134"/>
      <c r="U300" s="134" t="s">
        <v>157</v>
      </c>
      <c r="V300" s="137">
        <f>IF(ISBLANK(Table1368[[#This Row],[Date réception Achat]]),"",IF(ISBLANK(Table1368[[#This Row],[Date revente]]),TODAY(),Table1368[[#This Row],[Date revente]])-Table1368[[#This Row],[Date réception Achat]])</f>
        <v>37</v>
      </c>
      <c r="W30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00" s="135">
        <f>IF(Table1368[[#This Row],[Prix de revente]]="","",Table1368[[#This Row],[Prix de revente]]-Table1368[[#This Row],[Prix total Achat]])</f>
      </c>
      <c r="Y300" s="138">
        <f>IF(Table1368[[#This Row],[Prix de revente]]="","",(Table1368[[#This Row],[Prix de revente]]/Table1368[[#This Row],[Prix total Achat]]))</f>
      </c>
      <c r="Z300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300" s="139">
        <f>IF(ISBLANK(Table1368[[#This Row],[Date relisting]]),"",IF(ISBLANK(Table1368[[#This Row],[Date relisting]]),TODAY(),Table1368[[#This Row],[Date relisting]])-Table1368[[#This Row],[Date réception Achat]])</f>
        <v>23</v>
      </c>
      <c r="AB300" s="139">
        <f>IF(ISBLANK(Table1368[[#This Row],[Date revente]]),"",IF(ISBLANK(Table1368[[#This Row],[Date revente]]),TODAY(),Table1368[[#This Row],[Date revente]])-Table1368[[#This Row],[Date relisting]])</f>
      </c>
      <c r="AC300" s="139">
        <f>IF(ISBLANK(Table1368[[#This Row],[Date revente]]),"",IF(ISBLANK(Table1368[[#This Row],[Date revente]]),TODAY(),Table1368[[#This Row],[Date revente]])-Table1368[[#This Row],[Date réception Achat]])</f>
      </c>
      <c r="AD300" s="139">
        <f>IF(ISBLANK(Table1368[[#This Row],[Date revente]]),"",IF(ISBLANK(Table1368[[#This Row],[Date revente]]),TODAY(),Table1368[[#This Row],[Date revente]])-Table1368[[#This Row],[Date achat]])</f>
      </c>
    </row>
    <row r="301" spans="1:30" x14ac:dyDescent="0.25">
      <c r="A301" s="134">
        <v>46183</v>
      </c>
      <c r="B301" s="148" t="s">
        <v>848</v>
      </c>
      <c r="C301" s="134" t="s">
        <v>849</v>
      </c>
      <c r="D301" s="157" t="s">
        <v>839</v>
      </c>
      <c r="E301" s="158">
        <v>626</v>
      </c>
      <c r="F301" s="157" t="s">
        <v>305</v>
      </c>
      <c r="G301" s="147" t="s">
        <v>322</v>
      </c>
      <c r="H301" s="155" t="s">
        <v>850</v>
      </c>
      <c r="I301" s="134" t="s">
        <v>165</v>
      </c>
      <c r="J301" s="134" t="s">
        <v>157</v>
      </c>
      <c r="K301" s="135">
        <v>39.93</v>
      </c>
      <c r="L301" s="135">
        <f>Table1368[[#This Row],[Prix total Achat]]-Table1368[[#This Row],[Prix article]]</f>
        <v>15.91970333333333</v>
      </c>
      <c r="M301" s="135">
        <v>55.84970333333333</v>
      </c>
      <c r="N301" s="134">
        <v>46266</v>
      </c>
      <c r="O301" s="136">
        <f>(Table1368[[#This Row],[Prix total Achat]]*2)</f>
        <v>111.69940666666666</v>
      </c>
      <c r="P301" s="136">
        <f>Table1368[[#This Row],[Prix Min voulu (x2 )]]*1.2</f>
        <v>134.039288</v>
      </c>
      <c r="Q301" s="134">
        <v>46290</v>
      </c>
      <c r="R301" s="134"/>
      <c r="S301" s="135"/>
      <c r="T301" s="134"/>
      <c r="U301" s="134" t="s">
        <v>157</v>
      </c>
      <c r="V301" s="137">
        <f>IF(ISBLANK(Table1368[[#This Row],[Date réception Achat]]),"",IF(ISBLANK(Table1368[[#This Row],[Date revente]]),TODAY(),Table1368[[#This Row],[Date revente]])-Table1368[[#This Row],[Date réception Achat]])</f>
        <v>37</v>
      </c>
      <c r="W30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01" s="135">
        <f>IF(Table1368[[#This Row],[Prix de revente]]="","",Table1368[[#This Row],[Prix de revente]]-Table1368[[#This Row],[Prix total Achat]])</f>
      </c>
      <c r="Y301" s="138">
        <f>IF(Table1368[[#This Row],[Prix de revente]]="","",(Table1368[[#This Row],[Prix de revente]]/Table1368[[#This Row],[Prix total Achat]]))</f>
      </c>
      <c r="Z301" s="139">
        <f>IF(ISBLANK(Table1368[[#This Row],[Date réception Achat]]),"",IF(ISBLANK(Table1368[[#This Row],[Date réception Achat]]),TODAY(),Table1368[[#This Row],[Date réception Achat]])-Table1368[[#This Row],[Date achat]])</f>
        <v>83</v>
      </c>
      <c r="AA301" s="139">
        <f>IF(ISBLANK(Table1368[[#This Row],[Date relisting]]),"",IF(ISBLANK(Table1368[[#This Row],[Date relisting]]),TODAY(),Table1368[[#This Row],[Date relisting]])-Table1368[[#This Row],[Date réception Achat]])</f>
        <v>24</v>
      </c>
      <c r="AB301" s="139">
        <f>IF(ISBLANK(Table1368[[#This Row],[Date revente]]),"",IF(ISBLANK(Table1368[[#This Row],[Date revente]]),TODAY(),Table1368[[#This Row],[Date revente]])-Table1368[[#This Row],[Date relisting]])</f>
      </c>
      <c r="AC301" s="139">
        <f>IF(ISBLANK(Table1368[[#This Row],[Date revente]]),"",IF(ISBLANK(Table1368[[#This Row],[Date revente]]),TODAY(),Table1368[[#This Row],[Date revente]])-Table1368[[#This Row],[Date réception Achat]])</f>
      </c>
      <c r="AD301" s="139">
        <f>IF(ISBLANK(Table1368[[#This Row],[Date revente]]),"",IF(ISBLANK(Table1368[[#This Row],[Date revente]]),TODAY(),Table1368[[#This Row],[Date revente]])-Table1368[[#This Row],[Date achat]])</f>
      </c>
    </row>
    <row r="302" spans="1:30" x14ac:dyDescent="0.25">
      <c r="A302" s="134">
        <v>46184</v>
      </c>
      <c r="B302" s="141" t="s">
        <v>851</v>
      </c>
      <c r="C302" s="134" t="s">
        <v>852</v>
      </c>
      <c r="D302" s="156" t="s">
        <v>157</v>
      </c>
      <c r="E302" s="156"/>
      <c r="F302" s="156"/>
      <c r="G302" s="134" t="s">
        <v>408</v>
      </c>
      <c r="H302" s="127" t="s">
        <v>330</v>
      </c>
      <c r="I302" s="134" t="s">
        <v>160</v>
      </c>
      <c r="J302" s="134" t="s">
        <v>157</v>
      </c>
      <c r="K302" s="135">
        <v>35</v>
      </c>
      <c r="L302" s="135">
        <f>Table1368[[#This Row],[Prix total Achat]]-Table1368[[#This Row],[Prix article]]</f>
        <v>5.5</v>
      </c>
      <c r="M302" s="135">
        <v>40.5</v>
      </c>
      <c r="N302" s="134">
        <v>46195</v>
      </c>
      <c r="O302" s="136">
        <f>(Table1368[[#This Row],[Prix total Achat]]*2)</f>
        <v>81</v>
      </c>
      <c r="P302" s="136">
        <f>Table1368[[#This Row],[Prix Min voulu (x2 )]]*1.2</f>
        <v>97.2</v>
      </c>
      <c r="Q302" s="134">
        <v>46196</v>
      </c>
      <c r="R302" s="134">
        <v>46276</v>
      </c>
      <c r="S302" s="135">
        <v>84</v>
      </c>
      <c r="T302" s="134" t="s">
        <v>814</v>
      </c>
      <c r="U302" s="134" t="s">
        <v>157</v>
      </c>
      <c r="V302" s="137">
        <f>IF(ISBLANK(Table1368[[#This Row],[Date réception Achat]]),"",IF(ISBLANK(Table1368[[#This Row],[Date revente]]),TODAY(),Table1368[[#This Row],[Date revente]])-Table1368[[#This Row],[Date réception Achat]])</f>
        <v>81</v>
      </c>
      <c r="W30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02" s="135">
        <f>IF(Table1368[[#This Row],[Prix de revente]]="","",Table1368[[#This Row],[Prix de revente]]-Table1368[[#This Row],[Prix total Achat]])</f>
        <v>43.5</v>
      </c>
      <c r="Y302" s="138">
        <f>IF(Table1368[[#This Row],[Prix de revente]]="","",(Table1368[[#This Row],[Prix de revente]]/Table1368[[#This Row],[Prix total Achat]]))</f>
        <v>2.074074074074074</v>
      </c>
      <c r="Z302" s="139">
        <f>IF(ISBLANK(Table1368[[#This Row],[Date réception Achat]]),"",IF(ISBLANK(Table1368[[#This Row],[Date réception Achat]]),TODAY(),Table1368[[#This Row],[Date réception Achat]])-Table1368[[#This Row],[Date achat]])</f>
        <v>11</v>
      </c>
      <c r="AA302" s="139">
        <f>IF(ISBLANK(Table1368[[#This Row],[Date relisting]]),"",IF(ISBLANK(Table1368[[#This Row],[Date relisting]]),TODAY(),Table1368[[#This Row],[Date relisting]])-Table1368[[#This Row],[Date réception Achat]])</f>
        <v>1</v>
      </c>
      <c r="AB302" s="139">
        <f>IF(ISBLANK(Table1368[[#This Row],[Date revente]]),"",IF(ISBLANK(Table1368[[#This Row],[Date revente]]),TODAY(),Table1368[[#This Row],[Date revente]])-Table1368[[#This Row],[Date relisting]])</f>
        <v>80</v>
      </c>
      <c r="AC302" s="139">
        <f>IF(ISBLANK(Table1368[[#This Row],[Date revente]]),"",IF(ISBLANK(Table1368[[#This Row],[Date revente]]),TODAY(),Table1368[[#This Row],[Date revente]])-Table1368[[#This Row],[Date réception Achat]])</f>
        <v>81</v>
      </c>
      <c r="AD302" s="139">
        <f>IF(ISBLANK(Table1368[[#This Row],[Date revente]]),"",IF(ISBLANK(Table1368[[#This Row],[Date revente]]),TODAY(),Table1368[[#This Row],[Date revente]])-Table1368[[#This Row],[Date achat]])</f>
        <v>92</v>
      </c>
    </row>
    <row r="303" spans="1:30" x14ac:dyDescent="0.25">
      <c r="A303" s="134">
        <v>46186</v>
      </c>
      <c r="B303" s="141" t="s">
        <v>853</v>
      </c>
      <c r="C303" s="134" t="s">
        <v>854</v>
      </c>
      <c r="D303" s="156" t="s">
        <v>855</v>
      </c>
      <c r="E303" s="156"/>
      <c r="F303" s="156"/>
      <c r="G303" s="159" t="s">
        <v>392</v>
      </c>
      <c r="H303" s="155" t="s">
        <v>174</v>
      </c>
      <c r="I303" s="134" t="s">
        <v>165</v>
      </c>
      <c r="J303" s="134" t="s">
        <v>157</v>
      </c>
      <c r="K303" s="160">
        <v>14.85</v>
      </c>
      <c r="L303" s="135">
        <f>Table1368[[#This Row],[Prix total Achat]]-Table1368[[#This Row],[Prix article]]</f>
        <v>19.701251999999997</v>
      </c>
      <c r="M303" s="135">
        <v>34.551252</v>
      </c>
      <c r="N303" s="134">
        <v>46268</v>
      </c>
      <c r="O303" s="136">
        <f>(Table1368[[#This Row],[Prix total Achat]]*2)</f>
        <v>69.102504</v>
      </c>
      <c r="P303" s="136">
        <f>Table1368[[#This Row],[Prix Min voulu (x2 )]]*1.2</f>
        <v>82.92300479999999</v>
      </c>
      <c r="Q303" s="134">
        <v>46276</v>
      </c>
      <c r="R303" s="134">
        <v>46280</v>
      </c>
      <c r="S303" s="135">
        <v>98.5</v>
      </c>
      <c r="T303" s="134" t="s">
        <v>160</v>
      </c>
      <c r="U303" s="134" t="s">
        <v>157</v>
      </c>
      <c r="V303" s="137">
        <f>IF(ISBLANK(Table1368[[#This Row],[Date réception Achat]]),"",IF(ISBLANK(Table1368[[#This Row],[Date revente]]),TODAY(),Table1368[[#This Row],[Date revente]])-Table1368[[#This Row],[Date réception Achat]])</f>
        <v>12</v>
      </c>
      <c r="W30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03" s="135">
        <f>IF(Table1368[[#This Row],[Prix de revente]]="","",Table1368[[#This Row],[Prix de revente]]-Table1368[[#This Row],[Prix total Achat]])</f>
        <v>63.948748</v>
      </c>
      <c r="Y303" s="138">
        <f>IF(Table1368[[#This Row],[Prix de revente]]="","",(Table1368[[#This Row],[Prix de revente]]/Table1368[[#This Row],[Prix total Achat]]))</f>
        <v>2.8508373589472242</v>
      </c>
      <c r="Z303" s="139">
        <f>IF(ISBLANK(Table1368[[#This Row],[Date réception Achat]]),"",IF(ISBLANK(Table1368[[#This Row],[Date réception Achat]]),TODAY(),Table1368[[#This Row],[Date réception Achat]])-Table1368[[#This Row],[Date achat]])</f>
        <v>82</v>
      </c>
      <c r="AA303" s="139">
        <f>IF(ISBLANK(Table1368[[#This Row],[Date relisting]]),"",IF(ISBLANK(Table1368[[#This Row],[Date relisting]]),TODAY(),Table1368[[#This Row],[Date relisting]])-Table1368[[#This Row],[Date réception Achat]])</f>
        <v>8</v>
      </c>
      <c r="AB303" s="139">
        <f>IF(ISBLANK(Table1368[[#This Row],[Date revente]]),"",IF(ISBLANK(Table1368[[#This Row],[Date revente]]),TODAY(),Table1368[[#This Row],[Date revente]])-Table1368[[#This Row],[Date relisting]])</f>
        <v>4</v>
      </c>
      <c r="AC303" s="139">
        <f>IF(ISBLANK(Table1368[[#This Row],[Date revente]]),"",IF(ISBLANK(Table1368[[#This Row],[Date revente]]),TODAY(),Table1368[[#This Row],[Date revente]])-Table1368[[#This Row],[Date réception Achat]])</f>
        <v>12</v>
      </c>
      <c r="AD303" s="139">
        <f>IF(ISBLANK(Table1368[[#This Row],[Date revente]]),"",IF(ISBLANK(Table1368[[#This Row],[Date revente]]),TODAY(),Table1368[[#This Row],[Date revente]])-Table1368[[#This Row],[Date achat]])</f>
        <v>94</v>
      </c>
    </row>
    <row r="304" spans="1:30" x14ac:dyDescent="0.25">
      <c r="A304" s="134">
        <v>46186</v>
      </c>
      <c r="B304" s="141" t="s">
        <v>856</v>
      </c>
      <c r="C304" s="134" t="s">
        <v>857</v>
      </c>
      <c r="D304" s="156" t="s">
        <v>855</v>
      </c>
      <c r="E304" s="156"/>
      <c r="F304" s="156"/>
      <c r="G304" s="159" t="s">
        <v>858</v>
      </c>
      <c r="H304" s="155" t="s">
        <v>174</v>
      </c>
      <c r="I304" s="134" t="s">
        <v>165</v>
      </c>
      <c r="J304" s="134" t="s">
        <v>157</v>
      </c>
      <c r="K304" s="160">
        <v>37.949999999999996</v>
      </c>
      <c r="L304" s="135">
        <f>Table1368[[#This Row],[Prix total Achat]]-Table1368[[#This Row],[Prix article]]</f>
        <v>19.701251999999997</v>
      </c>
      <c r="M304" s="135">
        <v>57.65125199999999</v>
      </c>
      <c r="N304" s="134">
        <v>46268</v>
      </c>
      <c r="O304" s="136">
        <f>(Table1368[[#This Row],[Prix total Achat]]*2)</f>
        <v>115.30250399999998</v>
      </c>
      <c r="P304" s="136">
        <f>Table1368[[#This Row],[Prix Min voulu (x2 )]]*1.2</f>
        <v>138.36300479999997</v>
      </c>
      <c r="Q304" s="134">
        <v>46276</v>
      </c>
      <c r="R304" s="134">
        <v>46277</v>
      </c>
      <c r="S304" s="135">
        <v>125</v>
      </c>
      <c r="T304" s="134" t="s">
        <v>160</v>
      </c>
      <c r="U304" s="134" t="s">
        <v>157</v>
      </c>
      <c r="V304" s="137">
        <f>IF(ISBLANK(Table1368[[#This Row],[Date réception Achat]]),"",IF(ISBLANK(Table1368[[#This Row],[Date revente]]),TODAY(),Table1368[[#This Row],[Date revente]])-Table1368[[#This Row],[Date réception Achat]])</f>
        <v>9</v>
      </c>
      <c r="W30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04" s="135">
        <f>IF(Table1368[[#This Row],[Prix de revente]]="","",Table1368[[#This Row],[Prix de revente]]-Table1368[[#This Row],[Prix total Achat]])</f>
        <v>67.348748</v>
      </c>
      <c r="Y304" s="138">
        <f>IF(Table1368[[#This Row],[Prix de revente]]="","",(Table1368[[#This Row],[Prix de revente]]/Table1368[[#This Row],[Prix total Achat]]))</f>
        <v>2.1682096340249473</v>
      </c>
      <c r="Z304" s="139">
        <f>IF(ISBLANK(Table1368[[#This Row],[Date réception Achat]]),"",IF(ISBLANK(Table1368[[#This Row],[Date réception Achat]]),TODAY(),Table1368[[#This Row],[Date réception Achat]])-Table1368[[#This Row],[Date achat]])</f>
        <v>82</v>
      </c>
      <c r="AA304" s="139">
        <f>IF(ISBLANK(Table1368[[#This Row],[Date relisting]]),"",IF(ISBLANK(Table1368[[#This Row],[Date relisting]]),TODAY(),Table1368[[#This Row],[Date relisting]])-Table1368[[#This Row],[Date réception Achat]])</f>
        <v>8</v>
      </c>
      <c r="AB304" s="139">
        <f>IF(ISBLANK(Table1368[[#This Row],[Date revente]]),"",IF(ISBLANK(Table1368[[#This Row],[Date revente]]),TODAY(),Table1368[[#This Row],[Date revente]])-Table1368[[#This Row],[Date relisting]])</f>
        <v>1</v>
      </c>
      <c r="AC304" s="139">
        <f>IF(ISBLANK(Table1368[[#This Row],[Date revente]]),"",IF(ISBLANK(Table1368[[#This Row],[Date revente]]),TODAY(),Table1368[[#This Row],[Date revente]])-Table1368[[#This Row],[Date réception Achat]])</f>
        <v>9</v>
      </c>
      <c r="AD304" s="139">
        <f>IF(ISBLANK(Table1368[[#This Row],[Date revente]]),"",IF(ISBLANK(Table1368[[#This Row],[Date revente]]),TODAY(),Table1368[[#This Row],[Date revente]])-Table1368[[#This Row],[Date achat]])</f>
        <v>91</v>
      </c>
    </row>
    <row r="305" spans="1:30" x14ac:dyDescent="0.25">
      <c r="A305" s="134">
        <v>46186</v>
      </c>
      <c r="B305" s="141" t="s">
        <v>859</v>
      </c>
      <c r="C305" s="134" t="s">
        <v>860</v>
      </c>
      <c r="D305" s="156" t="s">
        <v>855</v>
      </c>
      <c r="E305" s="156"/>
      <c r="F305" s="156"/>
      <c r="G305" s="159" t="s">
        <v>431</v>
      </c>
      <c r="H305" s="155" t="s">
        <v>861</v>
      </c>
      <c r="I305" s="134" t="s">
        <v>165</v>
      </c>
      <c r="J305" s="134" t="s">
        <v>157</v>
      </c>
      <c r="K305" s="160">
        <v>34.65</v>
      </c>
      <c r="L305" s="135">
        <f>Table1368[[#This Row],[Prix total Achat]]-Table1368[[#This Row],[Prix article]]</f>
        <v>19.701251999999997</v>
      </c>
      <c r="M305" s="135">
        <v>54.351251999999995</v>
      </c>
      <c r="N305" s="134">
        <v>46268</v>
      </c>
      <c r="O305" s="136">
        <f>(Table1368[[#This Row],[Prix total Achat]]*2)</f>
        <v>108.70250399999999</v>
      </c>
      <c r="P305" s="136">
        <f>Table1368[[#This Row],[Prix Min voulu (x2 )]]*1.2</f>
        <v>130.44300479999998</v>
      </c>
      <c r="Q305" s="134">
        <v>46276</v>
      </c>
      <c r="R305" s="134"/>
      <c r="S305" s="135"/>
      <c r="T305" s="134"/>
      <c r="U305" s="134" t="s">
        <v>157</v>
      </c>
      <c r="V305" s="137">
        <f>IF(ISBLANK(Table1368[[#This Row],[Date réception Achat]]),"",IF(ISBLANK(Table1368[[#This Row],[Date revente]]),TODAY(),Table1368[[#This Row],[Date revente]])-Table1368[[#This Row],[Date réception Achat]])</f>
        <v>35</v>
      </c>
      <c r="W30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05" s="135">
        <f>IF(Table1368[[#This Row],[Prix de revente]]="","",Table1368[[#This Row],[Prix de revente]]-Table1368[[#This Row],[Prix total Achat]])</f>
      </c>
      <c r="Y305" s="138">
        <f>IF(Table1368[[#This Row],[Prix de revente]]="","",(Table1368[[#This Row],[Prix de revente]]/Table1368[[#This Row],[Prix total Achat]]))</f>
      </c>
      <c r="Z305" s="139">
        <f>IF(ISBLANK(Table1368[[#This Row],[Date réception Achat]]),"",IF(ISBLANK(Table1368[[#This Row],[Date réception Achat]]),TODAY(),Table1368[[#This Row],[Date réception Achat]])-Table1368[[#This Row],[Date achat]])</f>
        <v>82</v>
      </c>
      <c r="AA305" s="139">
        <f>IF(ISBLANK(Table1368[[#This Row],[Date relisting]]),"",IF(ISBLANK(Table1368[[#This Row],[Date relisting]]),TODAY(),Table1368[[#This Row],[Date relisting]])-Table1368[[#This Row],[Date réception Achat]])</f>
        <v>8</v>
      </c>
      <c r="AB305" s="139">
        <f>IF(ISBLANK(Table1368[[#This Row],[Date revente]]),"",IF(ISBLANK(Table1368[[#This Row],[Date revente]]),TODAY(),Table1368[[#This Row],[Date revente]])-Table1368[[#This Row],[Date relisting]])</f>
      </c>
      <c r="AC305" s="139">
        <f>IF(ISBLANK(Table1368[[#This Row],[Date revente]]),"",IF(ISBLANK(Table1368[[#This Row],[Date revente]]),TODAY(),Table1368[[#This Row],[Date revente]])-Table1368[[#This Row],[Date réception Achat]])</f>
      </c>
      <c r="AD305" s="139">
        <f>IF(ISBLANK(Table1368[[#This Row],[Date revente]]),"",IF(ISBLANK(Table1368[[#This Row],[Date revente]]),TODAY(),Table1368[[#This Row],[Date revente]])-Table1368[[#This Row],[Date achat]])</f>
      </c>
    </row>
    <row r="306" spans="1:30" x14ac:dyDescent="0.25">
      <c r="A306" s="134">
        <v>46186</v>
      </c>
      <c r="B306" s="141" t="s">
        <v>862</v>
      </c>
      <c r="C306" s="134" t="s">
        <v>863</v>
      </c>
      <c r="D306" s="156" t="s">
        <v>855</v>
      </c>
      <c r="E306" s="156"/>
      <c r="F306" s="156"/>
      <c r="G306" s="159" t="s">
        <v>378</v>
      </c>
      <c r="H306" s="155" t="s">
        <v>287</v>
      </c>
      <c r="I306" s="134" t="s">
        <v>165</v>
      </c>
      <c r="J306" s="134" t="s">
        <v>157</v>
      </c>
      <c r="K306" s="160">
        <v>39.93</v>
      </c>
      <c r="L306" s="135">
        <f>Table1368[[#This Row],[Prix total Achat]]-Table1368[[#This Row],[Prix article]]</f>
        <v>19.701251999999997</v>
      </c>
      <c r="M306" s="135">
        <v>59.631251999999996</v>
      </c>
      <c r="N306" s="134">
        <v>46268</v>
      </c>
      <c r="O306" s="136">
        <f>(Table1368[[#This Row],[Prix total Achat]]*2)</f>
        <v>119.26250399999999</v>
      </c>
      <c r="P306" s="136">
        <f>Table1368[[#This Row],[Prix Min voulu (x2 )]]*1.2</f>
        <v>143.11500479999998</v>
      </c>
      <c r="Q306" s="134">
        <v>46276</v>
      </c>
      <c r="R306" s="134">
        <v>46288</v>
      </c>
      <c r="S306" s="135">
        <v>140</v>
      </c>
      <c r="T306" s="134" t="s">
        <v>160</v>
      </c>
      <c r="U306" s="134" t="s">
        <v>157</v>
      </c>
      <c r="V306" s="137">
        <f>IF(ISBLANK(Table1368[[#This Row],[Date réception Achat]]),"",IF(ISBLANK(Table1368[[#This Row],[Date revente]]),TODAY(),Table1368[[#This Row],[Date revente]])-Table1368[[#This Row],[Date réception Achat]])</f>
        <v>20</v>
      </c>
      <c r="W30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06" s="135">
        <f>IF(Table1368[[#This Row],[Prix de revente]]="","",Table1368[[#This Row],[Prix de revente]]-Table1368[[#This Row],[Prix total Achat]])</f>
        <v>80.36874800000001</v>
      </c>
      <c r="Y306" s="138">
        <f>IF(Table1368[[#This Row],[Prix de revente]]="","",(Table1368[[#This Row],[Prix de revente]]/Table1368[[#This Row],[Prix total Achat]]))</f>
        <v>2.3477622103255524</v>
      </c>
      <c r="Z306" s="139">
        <f>IF(ISBLANK(Table1368[[#This Row],[Date réception Achat]]),"",IF(ISBLANK(Table1368[[#This Row],[Date réception Achat]]),TODAY(),Table1368[[#This Row],[Date réception Achat]])-Table1368[[#This Row],[Date achat]])</f>
        <v>82</v>
      </c>
      <c r="AA306" s="139">
        <f>IF(ISBLANK(Table1368[[#This Row],[Date relisting]]),"",IF(ISBLANK(Table1368[[#This Row],[Date relisting]]),TODAY(),Table1368[[#This Row],[Date relisting]])-Table1368[[#This Row],[Date réception Achat]])</f>
        <v>8</v>
      </c>
      <c r="AB306" s="139">
        <f>IF(ISBLANK(Table1368[[#This Row],[Date revente]]),"",IF(ISBLANK(Table1368[[#This Row],[Date revente]]),TODAY(),Table1368[[#This Row],[Date revente]])-Table1368[[#This Row],[Date relisting]])</f>
        <v>12</v>
      </c>
      <c r="AC306" s="139">
        <f>IF(ISBLANK(Table1368[[#This Row],[Date revente]]),"",IF(ISBLANK(Table1368[[#This Row],[Date revente]]),TODAY(),Table1368[[#This Row],[Date revente]])-Table1368[[#This Row],[Date réception Achat]])</f>
        <v>20</v>
      </c>
      <c r="AD306" s="139">
        <f>IF(ISBLANK(Table1368[[#This Row],[Date revente]]),"",IF(ISBLANK(Table1368[[#This Row],[Date revente]]),TODAY(),Table1368[[#This Row],[Date revente]])-Table1368[[#This Row],[Date achat]])</f>
        <v>102</v>
      </c>
    </row>
    <row r="307" spans="1:30" x14ac:dyDescent="0.25">
      <c r="A307" s="134">
        <v>46186</v>
      </c>
      <c r="B307" s="143" t="s">
        <v>864</v>
      </c>
      <c r="C307" s="134" t="s">
        <v>865</v>
      </c>
      <c r="D307" s="156" t="s">
        <v>855</v>
      </c>
      <c r="E307" s="156"/>
      <c r="F307" s="156"/>
      <c r="G307" s="159" t="s">
        <v>858</v>
      </c>
      <c r="H307" s="155" t="s">
        <v>330</v>
      </c>
      <c r="I307" s="134" t="s">
        <v>165</v>
      </c>
      <c r="J307" s="134" t="s">
        <v>157</v>
      </c>
      <c r="K307" s="160">
        <v>22</v>
      </c>
      <c r="L307" s="135">
        <f>Table1368[[#This Row],[Prix total Achat]]-Table1368[[#This Row],[Prix article]]</f>
        <v>19.701251999999997</v>
      </c>
      <c r="M307" s="135">
        <v>41.701252</v>
      </c>
      <c r="N307" s="134">
        <v>46268</v>
      </c>
      <c r="O307" s="136">
        <f>(Table1368[[#This Row],[Prix total Achat]]*2)</f>
        <v>83.402504</v>
      </c>
      <c r="P307" s="136">
        <f>Table1368[[#This Row],[Prix Min voulu (x2 )]]*1.2</f>
        <v>100.08300479999998</v>
      </c>
      <c r="Q307" s="134">
        <v>46276</v>
      </c>
      <c r="R307" s="134">
        <v>46277</v>
      </c>
      <c r="S307" s="135">
        <v>139</v>
      </c>
      <c r="T307" s="134" t="s">
        <v>160</v>
      </c>
      <c r="U307" s="134" t="s">
        <v>157</v>
      </c>
      <c r="V307" s="137">
        <f>IF(ISBLANK(Table1368[[#This Row],[Date réception Achat]]),"",IF(ISBLANK(Table1368[[#This Row],[Date revente]]),TODAY(),Table1368[[#This Row],[Date revente]])-Table1368[[#This Row],[Date réception Achat]])</f>
        <v>9</v>
      </c>
      <c r="W30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07" s="135">
        <f>IF(Table1368[[#This Row],[Prix de revente]]="","",Table1368[[#This Row],[Prix de revente]]-Table1368[[#This Row],[Prix total Achat]])</f>
        <v>97.298748</v>
      </c>
      <c r="Y307" s="138">
        <f>IF(Table1368[[#This Row],[Prix de revente]]="","",(Table1368[[#This Row],[Prix de revente]]/Table1368[[#This Row],[Prix total Achat]]))</f>
        <v>3.33323325640199</v>
      </c>
      <c r="Z307" s="139">
        <f>IF(ISBLANK(Table1368[[#This Row],[Date réception Achat]]),"",IF(ISBLANK(Table1368[[#This Row],[Date réception Achat]]),TODAY(),Table1368[[#This Row],[Date réception Achat]])-Table1368[[#This Row],[Date achat]])</f>
        <v>82</v>
      </c>
      <c r="AA307" s="139">
        <f>IF(ISBLANK(Table1368[[#This Row],[Date relisting]]),"",IF(ISBLANK(Table1368[[#This Row],[Date relisting]]),TODAY(),Table1368[[#This Row],[Date relisting]])-Table1368[[#This Row],[Date réception Achat]])</f>
        <v>8</v>
      </c>
      <c r="AB307" s="139">
        <f>IF(ISBLANK(Table1368[[#This Row],[Date revente]]),"",IF(ISBLANK(Table1368[[#This Row],[Date revente]]),TODAY(),Table1368[[#This Row],[Date revente]])-Table1368[[#This Row],[Date relisting]])</f>
        <v>1</v>
      </c>
      <c r="AC307" s="139">
        <f>IF(ISBLANK(Table1368[[#This Row],[Date revente]]),"",IF(ISBLANK(Table1368[[#This Row],[Date revente]]),TODAY(),Table1368[[#This Row],[Date revente]])-Table1368[[#This Row],[Date réception Achat]])</f>
        <v>9</v>
      </c>
      <c r="AD307" s="139">
        <f>IF(ISBLANK(Table1368[[#This Row],[Date revente]]),"",IF(ISBLANK(Table1368[[#This Row],[Date revente]]),TODAY(),Table1368[[#This Row],[Date revente]])-Table1368[[#This Row],[Date achat]])</f>
        <v>91</v>
      </c>
    </row>
    <row r="308" spans="1:30" x14ac:dyDescent="0.25">
      <c r="A308" s="134">
        <v>46192</v>
      </c>
      <c r="B308" s="141" t="s">
        <v>866</v>
      </c>
      <c r="C308" s="134" t="s">
        <v>867</v>
      </c>
      <c r="D308" s="156" t="s">
        <v>868</v>
      </c>
      <c r="E308" s="156"/>
      <c r="F308" s="156"/>
      <c r="G308" s="159" t="s">
        <v>163</v>
      </c>
      <c r="H308" s="155" t="s">
        <v>178</v>
      </c>
      <c r="I308" s="134" t="s">
        <v>165</v>
      </c>
      <c r="J308" s="134" t="s">
        <v>157</v>
      </c>
      <c r="K308" s="135">
        <v>15.29</v>
      </c>
      <c r="L308" s="135">
        <f>Table1368[[#This Row],[Prix total Achat]]-Table1368[[#This Row],[Prix article]]</f>
        <v>16.336384</v>
      </c>
      <c r="M308" s="135">
        <v>31.626383999999998</v>
      </c>
      <c r="N308" s="134">
        <v>46204</v>
      </c>
      <c r="O308" s="136">
        <f>(Table1368[[#This Row],[Prix total Achat]]*2)</f>
        <v>63.252767999999996</v>
      </c>
      <c r="P308" s="136">
        <f>Table1368[[#This Row],[Prix Min voulu (x2 )]]*1.2</f>
        <v>75.9033216</v>
      </c>
      <c r="Q308" s="134">
        <v>46207</v>
      </c>
      <c r="R308" s="134"/>
      <c r="S308" s="135"/>
      <c r="T308" s="134"/>
      <c r="U308" s="134"/>
      <c r="V308" s="137">
        <f>IF(ISBLANK(Table1368[[#This Row],[Date réception Achat]]),"",IF(ISBLANK(Table1368[[#This Row],[Date revente]]),TODAY(),Table1368[[#This Row],[Date revente]])-Table1368[[#This Row],[Date réception Achat]])</f>
        <v>99</v>
      </c>
      <c r="W30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08" s="135">
        <f>IF(Table1368[[#This Row],[Prix de revente]]="","",Table1368[[#This Row],[Prix de revente]]-Table1368[[#This Row],[Prix total Achat]])</f>
      </c>
      <c r="Y308" s="138">
        <f>IF(Table1368[[#This Row],[Prix de revente]]="","",(Table1368[[#This Row],[Prix de revente]]/Table1368[[#This Row],[Prix total Achat]]))</f>
      </c>
      <c r="Z308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08" s="139">
        <f>IF(ISBLANK(Table1368[[#This Row],[Date relisting]]),"",IF(ISBLANK(Table1368[[#This Row],[Date relisting]]),TODAY(),Table1368[[#This Row],[Date relisting]])-Table1368[[#This Row],[Date réception Achat]])</f>
        <v>3</v>
      </c>
      <c r="AB308" s="139">
        <f>IF(ISBLANK(Table1368[[#This Row],[Date revente]]),"",IF(ISBLANK(Table1368[[#This Row],[Date revente]]),TODAY(),Table1368[[#This Row],[Date revente]])-Table1368[[#This Row],[Date relisting]])</f>
      </c>
      <c r="AC308" s="139">
        <f>IF(ISBLANK(Table1368[[#This Row],[Date revente]]),"",IF(ISBLANK(Table1368[[#This Row],[Date revente]]),TODAY(),Table1368[[#This Row],[Date revente]])-Table1368[[#This Row],[Date réception Achat]])</f>
      </c>
      <c r="AD308" s="139">
        <f>IF(ISBLANK(Table1368[[#This Row],[Date revente]]),"",IF(ISBLANK(Table1368[[#This Row],[Date revente]]),TODAY(),Table1368[[#This Row],[Date revente]])-Table1368[[#This Row],[Date achat]])</f>
      </c>
    </row>
    <row r="309" spans="1:30" x14ac:dyDescent="0.25">
      <c r="A309" s="134">
        <v>46192</v>
      </c>
      <c r="B309" s="141" t="s">
        <v>869</v>
      </c>
      <c r="C309" s="134" t="s">
        <v>870</v>
      </c>
      <c r="D309" s="156" t="s">
        <v>868</v>
      </c>
      <c r="E309" s="156"/>
      <c r="F309" s="156"/>
      <c r="G309" s="159" t="s">
        <v>163</v>
      </c>
      <c r="H309" s="155" t="s">
        <v>178</v>
      </c>
      <c r="I309" s="134" t="s">
        <v>165</v>
      </c>
      <c r="J309" s="134" t="s">
        <v>157</v>
      </c>
      <c r="K309" s="135">
        <v>13.75</v>
      </c>
      <c r="L309" s="135">
        <f>Table1368[[#This Row],[Prix total Achat]]-Table1368[[#This Row],[Prix article]]</f>
        <v>16.336384</v>
      </c>
      <c r="M309" s="135">
        <v>30.086384</v>
      </c>
      <c r="N309" s="134">
        <v>46204</v>
      </c>
      <c r="O309" s="136">
        <f>(Table1368[[#This Row],[Prix total Achat]]*2)</f>
        <v>60.172768</v>
      </c>
      <c r="P309" s="136">
        <f>Table1368[[#This Row],[Prix Min voulu (x2 )]]*1.2</f>
        <v>72.2073216</v>
      </c>
      <c r="Q309" s="134">
        <v>46207</v>
      </c>
      <c r="R309" s="134">
        <v>46209</v>
      </c>
      <c r="S309" s="135">
        <v>80</v>
      </c>
      <c r="T309" s="134" t="s">
        <v>160</v>
      </c>
      <c r="U309" s="134" t="s">
        <v>871</v>
      </c>
      <c r="V309" s="137">
        <f>IF(ISBLANK(Table1368[[#This Row],[Date réception Achat]]),"",IF(ISBLANK(Table1368[[#This Row],[Date revente]]),TODAY(),Table1368[[#This Row],[Date revente]])-Table1368[[#This Row],[Date réception Achat]])</f>
        <v>5</v>
      </c>
      <c r="W30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09" s="135">
        <f>IF(Table1368[[#This Row],[Prix de revente]]="","",Table1368[[#This Row],[Prix de revente]]-Table1368[[#This Row],[Prix total Achat]])</f>
        <v>49.913616000000005</v>
      </c>
      <c r="Y309" s="138">
        <f>IF(Table1368[[#This Row],[Prix de revente]]="","",(Table1368[[#This Row],[Prix de revente]]/Table1368[[#This Row],[Prix total Achat]]))</f>
        <v>2.6590101356148352</v>
      </c>
      <c r="Z309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09" s="139">
        <f>IF(ISBLANK(Table1368[[#This Row],[Date relisting]]),"",IF(ISBLANK(Table1368[[#This Row],[Date relisting]]),TODAY(),Table1368[[#This Row],[Date relisting]])-Table1368[[#This Row],[Date réception Achat]])</f>
        <v>3</v>
      </c>
      <c r="AB309" s="139">
        <f>IF(ISBLANK(Table1368[[#This Row],[Date revente]]),"",IF(ISBLANK(Table1368[[#This Row],[Date revente]]),TODAY(),Table1368[[#This Row],[Date revente]])-Table1368[[#This Row],[Date relisting]])</f>
        <v>2</v>
      </c>
      <c r="AC309" s="139">
        <f>IF(ISBLANK(Table1368[[#This Row],[Date revente]]),"",IF(ISBLANK(Table1368[[#This Row],[Date revente]]),TODAY(),Table1368[[#This Row],[Date revente]])-Table1368[[#This Row],[Date réception Achat]])</f>
        <v>5</v>
      </c>
      <c r="AD309" s="139">
        <f>IF(ISBLANK(Table1368[[#This Row],[Date revente]]),"",IF(ISBLANK(Table1368[[#This Row],[Date revente]]),TODAY(),Table1368[[#This Row],[Date revente]])-Table1368[[#This Row],[Date achat]])</f>
        <v>17</v>
      </c>
    </row>
    <row r="310" spans="1:30" x14ac:dyDescent="0.25">
      <c r="A310" s="134">
        <v>46192</v>
      </c>
      <c r="B310" s="141" t="s">
        <v>872</v>
      </c>
      <c r="C310" s="134" t="s">
        <v>873</v>
      </c>
      <c r="D310" s="156" t="s">
        <v>868</v>
      </c>
      <c r="E310" s="156"/>
      <c r="F310" s="156"/>
      <c r="G310" s="159" t="s">
        <v>682</v>
      </c>
      <c r="H310" s="155" t="s">
        <v>874</v>
      </c>
      <c r="I310" s="134" t="s">
        <v>165</v>
      </c>
      <c r="J310" s="134" t="s">
        <v>157</v>
      </c>
      <c r="K310" s="135">
        <v>11</v>
      </c>
      <c r="L310" s="135">
        <f>Table1368[[#This Row],[Prix total Achat]]-Table1368[[#This Row],[Prix article]]</f>
        <v>16.336384</v>
      </c>
      <c r="M310" s="135">
        <v>27.336384</v>
      </c>
      <c r="N310" s="134">
        <v>46204</v>
      </c>
      <c r="O310" s="136">
        <f>(Table1368[[#This Row],[Prix total Achat]]*2)</f>
        <v>54.672768</v>
      </c>
      <c r="P310" s="136">
        <f>Table1368[[#This Row],[Prix Min voulu (x2 )]]*1.2</f>
        <v>65.60732159999999</v>
      </c>
      <c r="Q310" s="134">
        <v>46208</v>
      </c>
      <c r="R310" s="134">
        <v>46295</v>
      </c>
      <c r="S310" s="135">
        <v>50</v>
      </c>
      <c r="T310" s="134" t="s">
        <v>160</v>
      </c>
      <c r="U310" s="134" t="s">
        <v>157</v>
      </c>
      <c r="V310" s="137">
        <f>IF(ISBLANK(Table1368[[#This Row],[Date réception Achat]]),"",IF(ISBLANK(Table1368[[#This Row],[Date revente]]),TODAY(),Table1368[[#This Row],[Date revente]])-Table1368[[#This Row],[Date réception Achat]])</f>
        <v>91</v>
      </c>
      <c r="W31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10" s="135">
        <f>IF(Table1368[[#This Row],[Prix de revente]]="","",Table1368[[#This Row],[Prix de revente]]-Table1368[[#This Row],[Prix total Achat]])</f>
        <v>22.663616</v>
      </c>
      <c r="Y310" s="138">
        <f>IF(Table1368[[#This Row],[Prix de revente]]="","",(Table1368[[#This Row],[Prix de revente]]/Table1368[[#This Row],[Prix total Achat]]))</f>
        <v>1.829064151279116</v>
      </c>
      <c r="Z310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10" s="139">
        <f>IF(ISBLANK(Table1368[[#This Row],[Date relisting]]),"",IF(ISBLANK(Table1368[[#This Row],[Date relisting]]),TODAY(),Table1368[[#This Row],[Date relisting]])-Table1368[[#This Row],[Date réception Achat]])</f>
        <v>4</v>
      </c>
      <c r="AB310" s="139">
        <f>IF(ISBLANK(Table1368[[#This Row],[Date revente]]),"",IF(ISBLANK(Table1368[[#This Row],[Date revente]]),TODAY(),Table1368[[#This Row],[Date revente]])-Table1368[[#This Row],[Date relisting]])</f>
        <v>87</v>
      </c>
      <c r="AC310" s="139">
        <f>IF(ISBLANK(Table1368[[#This Row],[Date revente]]),"",IF(ISBLANK(Table1368[[#This Row],[Date revente]]),TODAY(),Table1368[[#This Row],[Date revente]])-Table1368[[#This Row],[Date réception Achat]])</f>
        <v>91</v>
      </c>
      <c r="AD310" s="139">
        <f>IF(ISBLANK(Table1368[[#This Row],[Date revente]]),"",IF(ISBLANK(Table1368[[#This Row],[Date revente]]),TODAY(),Table1368[[#This Row],[Date revente]])-Table1368[[#This Row],[Date achat]])</f>
        <v>103</v>
      </c>
    </row>
    <row r="311" spans="1:30" x14ac:dyDescent="0.25">
      <c r="A311" s="134">
        <v>46192</v>
      </c>
      <c r="B311" s="143" t="s">
        <v>875</v>
      </c>
      <c r="C311" s="134" t="s">
        <v>876</v>
      </c>
      <c r="D311" s="156" t="s">
        <v>868</v>
      </c>
      <c r="E311" s="156"/>
      <c r="F311" s="156"/>
      <c r="G311" s="159" t="s">
        <v>408</v>
      </c>
      <c r="H311" s="155" t="s">
        <v>164</v>
      </c>
      <c r="I311" s="134" t="s">
        <v>165</v>
      </c>
      <c r="J311" s="134" t="s">
        <v>157</v>
      </c>
      <c r="K311" s="135">
        <v>52.029999999999994</v>
      </c>
      <c r="L311" s="135">
        <f>Table1368[[#This Row],[Prix total Achat]]-Table1368[[#This Row],[Prix article]]</f>
        <v>16.336384000000002</v>
      </c>
      <c r="M311" s="135">
        <v>68.366384</v>
      </c>
      <c r="N311" s="134">
        <v>46204</v>
      </c>
      <c r="O311" s="136">
        <f>(Table1368[[#This Row],[Prix total Achat]]*2)</f>
        <v>136.732768</v>
      </c>
      <c r="P311" s="136">
        <f>Table1368[[#This Row],[Prix Min voulu (x2 )]]*1.2</f>
        <v>164.0793216</v>
      </c>
      <c r="Q311" s="134">
        <v>46206</v>
      </c>
      <c r="R311" s="134">
        <v>46209</v>
      </c>
      <c r="S311" s="135">
        <v>175</v>
      </c>
      <c r="T311" s="134" t="s">
        <v>160</v>
      </c>
      <c r="U311" s="134" t="s">
        <v>157</v>
      </c>
      <c r="V311" s="137">
        <f>IF(ISBLANK(Table1368[[#This Row],[Date réception Achat]]),"",IF(ISBLANK(Table1368[[#This Row],[Date revente]]),TODAY(),Table1368[[#This Row],[Date revente]])-Table1368[[#This Row],[Date réception Achat]])</f>
        <v>5</v>
      </c>
      <c r="W31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11" s="135">
        <f>IF(Table1368[[#This Row],[Prix de revente]]="","",Table1368[[#This Row],[Prix de revente]]-Table1368[[#This Row],[Prix total Achat]])</f>
        <v>106.633616</v>
      </c>
      <c r="Y311" s="138">
        <f>IF(Table1368[[#This Row],[Prix de revente]]="","",(Table1368[[#This Row],[Prix de revente]]/Table1368[[#This Row],[Prix total Achat]]))</f>
        <v>2.5597375458675717</v>
      </c>
      <c r="Z311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11" s="139">
        <f>IF(ISBLANK(Table1368[[#This Row],[Date relisting]]),"",IF(ISBLANK(Table1368[[#This Row],[Date relisting]]),TODAY(),Table1368[[#This Row],[Date relisting]])-Table1368[[#This Row],[Date réception Achat]])</f>
        <v>2</v>
      </c>
      <c r="AB311" s="139">
        <f>IF(ISBLANK(Table1368[[#This Row],[Date revente]]),"",IF(ISBLANK(Table1368[[#This Row],[Date revente]]),TODAY(),Table1368[[#This Row],[Date revente]])-Table1368[[#This Row],[Date relisting]])</f>
        <v>3</v>
      </c>
      <c r="AC311" s="139">
        <f>IF(ISBLANK(Table1368[[#This Row],[Date revente]]),"",IF(ISBLANK(Table1368[[#This Row],[Date revente]]),TODAY(),Table1368[[#This Row],[Date revente]])-Table1368[[#This Row],[Date réception Achat]])</f>
        <v>5</v>
      </c>
      <c r="AD311" s="139">
        <f>IF(ISBLANK(Table1368[[#This Row],[Date revente]]),"",IF(ISBLANK(Table1368[[#This Row],[Date revente]]),TODAY(),Table1368[[#This Row],[Date revente]])-Table1368[[#This Row],[Date achat]])</f>
        <v>17</v>
      </c>
    </row>
    <row r="312" spans="1:30" x14ac:dyDescent="0.25">
      <c r="A312" s="134">
        <v>46192</v>
      </c>
      <c r="B312" s="143" t="s">
        <v>877</v>
      </c>
      <c r="C312" s="134" t="s">
        <v>878</v>
      </c>
      <c r="D312" s="156" t="s">
        <v>868</v>
      </c>
      <c r="E312" s="156"/>
      <c r="F312" s="156"/>
      <c r="G312" s="159" t="s">
        <v>163</v>
      </c>
      <c r="H312" s="155" t="s">
        <v>194</v>
      </c>
      <c r="I312" s="134" t="s">
        <v>165</v>
      </c>
      <c r="J312" s="134" t="s">
        <v>157</v>
      </c>
      <c r="K312" s="135">
        <v>9.899999999999999</v>
      </c>
      <c r="L312" s="135">
        <f>Table1368[[#This Row],[Prix total Achat]]-Table1368[[#This Row],[Prix article]]</f>
        <v>16.336384</v>
      </c>
      <c r="M312" s="135">
        <v>26.236383999999997</v>
      </c>
      <c r="N312" s="134">
        <v>46204</v>
      </c>
      <c r="O312" s="136">
        <f>(Table1368[[#This Row],[Prix total Achat]]*2)</f>
        <v>52.472767999999995</v>
      </c>
      <c r="P312" s="136">
        <f>Table1368[[#This Row],[Prix Min voulu (x2 )]]*1.2</f>
        <v>62.96732159999999</v>
      </c>
      <c r="Q312" s="134">
        <v>46208</v>
      </c>
      <c r="R312" s="134"/>
      <c r="S312" s="135"/>
      <c r="T312" s="134"/>
      <c r="U312" s="134"/>
      <c r="V312" s="137">
        <f>IF(ISBLANK(Table1368[[#This Row],[Date réception Achat]]),"",IF(ISBLANK(Table1368[[#This Row],[Date revente]]),TODAY(),Table1368[[#This Row],[Date revente]])-Table1368[[#This Row],[Date réception Achat]])</f>
        <v>99</v>
      </c>
      <c r="W31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12" s="135">
        <f>IF(Table1368[[#This Row],[Prix de revente]]="","",Table1368[[#This Row],[Prix de revente]]-Table1368[[#This Row],[Prix total Achat]])</f>
      </c>
      <c r="Y312" s="138">
        <f>IF(Table1368[[#This Row],[Prix de revente]]="","",(Table1368[[#This Row],[Prix de revente]]/Table1368[[#This Row],[Prix total Achat]]))</f>
      </c>
      <c r="Z312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12" s="139">
        <f>IF(ISBLANK(Table1368[[#This Row],[Date relisting]]),"",IF(ISBLANK(Table1368[[#This Row],[Date relisting]]),TODAY(),Table1368[[#This Row],[Date relisting]])-Table1368[[#This Row],[Date réception Achat]])</f>
        <v>4</v>
      </c>
      <c r="AB312" s="139">
        <f>IF(ISBLANK(Table1368[[#This Row],[Date revente]]),"",IF(ISBLANK(Table1368[[#This Row],[Date revente]]),TODAY(),Table1368[[#This Row],[Date revente]])-Table1368[[#This Row],[Date relisting]])</f>
      </c>
      <c r="AC312" s="139">
        <f>IF(ISBLANK(Table1368[[#This Row],[Date revente]]),"",IF(ISBLANK(Table1368[[#This Row],[Date revente]]),TODAY(),Table1368[[#This Row],[Date revente]])-Table1368[[#This Row],[Date réception Achat]])</f>
      </c>
      <c r="AD312" s="139">
        <f>IF(ISBLANK(Table1368[[#This Row],[Date revente]]),"",IF(ISBLANK(Table1368[[#This Row],[Date revente]]),TODAY(),Table1368[[#This Row],[Date revente]])-Table1368[[#This Row],[Date achat]])</f>
      </c>
    </row>
    <row r="313" spans="1:30" x14ac:dyDescent="0.25">
      <c r="A313" s="134">
        <v>46196</v>
      </c>
      <c r="B313" s="146" t="s">
        <v>879</v>
      </c>
      <c r="C313" s="134" t="s">
        <v>880</v>
      </c>
      <c r="D313" s="156" t="s">
        <v>881</v>
      </c>
      <c r="E313" s="156"/>
      <c r="F313" s="156"/>
      <c r="G313" s="159" t="s">
        <v>882</v>
      </c>
      <c r="H313" s="155" t="s">
        <v>213</v>
      </c>
      <c r="I313" s="134" t="s">
        <v>165</v>
      </c>
      <c r="J313" s="134" t="s">
        <v>157</v>
      </c>
      <c r="K313" s="135">
        <v>27.389999999999997</v>
      </c>
      <c r="L313" s="135">
        <f>Table1368[[#This Row],[Prix total Achat]]-Table1368[[#This Row],[Prix article]]</f>
        <v>20.696209999999997</v>
      </c>
      <c r="M313" s="135">
        <v>48.086209999999994</v>
      </c>
      <c r="N313" s="134">
        <v>46206</v>
      </c>
      <c r="O313" s="136">
        <f>(Table1368[[#This Row],[Prix total Achat]]*2)</f>
        <v>96.17241999999999</v>
      </c>
      <c r="P313" s="136">
        <f>Table1368[[#This Row],[Prix Min voulu (x2 )]]*1.2</f>
        <v>115.40690399999998</v>
      </c>
      <c r="Q313" s="134">
        <v>46210</v>
      </c>
      <c r="R313" s="134">
        <v>46220</v>
      </c>
      <c r="S313" s="135">
        <v>110</v>
      </c>
      <c r="T313" s="134" t="s">
        <v>160</v>
      </c>
      <c r="U313" s="134" t="s">
        <v>157</v>
      </c>
      <c r="V313" s="137">
        <f>IF(ISBLANK(Table1368[[#This Row],[Date réception Achat]]),"",IF(ISBLANK(Table1368[[#This Row],[Date revente]]),TODAY(),Table1368[[#This Row],[Date revente]])-Table1368[[#This Row],[Date réception Achat]])</f>
        <v>14</v>
      </c>
      <c r="W31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13" s="135">
        <f>IF(Table1368[[#This Row],[Prix de revente]]="","",Table1368[[#This Row],[Prix de revente]]-Table1368[[#This Row],[Prix total Achat]])</f>
        <v>61.913790000000006</v>
      </c>
      <c r="Y313" s="138">
        <f>IF(Table1368[[#This Row],[Prix de revente]]="","",(Table1368[[#This Row],[Prix de revente]]/Table1368[[#This Row],[Prix total Achat]]))</f>
        <v>2.2875581169736607</v>
      </c>
      <c r="Z313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13" s="139">
        <f>IF(ISBLANK(Table1368[[#This Row],[Date relisting]]),"",IF(ISBLANK(Table1368[[#This Row],[Date relisting]]),TODAY(),Table1368[[#This Row],[Date relisting]])-Table1368[[#This Row],[Date réception Achat]])</f>
        <v>4</v>
      </c>
      <c r="AB313" s="139">
        <f>IF(ISBLANK(Table1368[[#This Row],[Date revente]]),"",IF(ISBLANK(Table1368[[#This Row],[Date revente]]),TODAY(),Table1368[[#This Row],[Date revente]])-Table1368[[#This Row],[Date relisting]])</f>
        <v>10</v>
      </c>
      <c r="AC313" s="139">
        <f>IF(ISBLANK(Table1368[[#This Row],[Date revente]]),"",IF(ISBLANK(Table1368[[#This Row],[Date revente]]),TODAY(),Table1368[[#This Row],[Date revente]])-Table1368[[#This Row],[Date réception Achat]])</f>
        <v>14</v>
      </c>
      <c r="AD313" s="139">
        <f>IF(ISBLANK(Table1368[[#This Row],[Date revente]]),"",IF(ISBLANK(Table1368[[#This Row],[Date revente]]),TODAY(),Table1368[[#This Row],[Date revente]])-Table1368[[#This Row],[Date achat]])</f>
        <v>24</v>
      </c>
    </row>
    <row r="314" spans="1:30" x14ac:dyDescent="0.25">
      <c r="A314" s="134">
        <v>46196</v>
      </c>
      <c r="B314" s="146" t="s">
        <v>883</v>
      </c>
      <c r="C314" s="134" t="s">
        <v>884</v>
      </c>
      <c r="D314" s="156" t="s">
        <v>881</v>
      </c>
      <c r="E314" s="156"/>
      <c r="F314" s="156"/>
      <c r="G314" s="159" t="s">
        <v>882</v>
      </c>
      <c r="H314" s="155" t="s">
        <v>213</v>
      </c>
      <c r="I314" s="134" t="s">
        <v>165</v>
      </c>
      <c r="J314" s="134" t="s">
        <v>157</v>
      </c>
      <c r="K314" s="135">
        <v>27.389999999999997</v>
      </c>
      <c r="L314" s="135">
        <f>Table1368[[#This Row],[Prix total Achat]]-Table1368[[#This Row],[Prix article]]</f>
        <v>20.696209999999997</v>
      </c>
      <c r="M314" s="135">
        <v>48.086209999999994</v>
      </c>
      <c r="N314" s="134">
        <v>46206</v>
      </c>
      <c r="O314" s="136">
        <f>(Table1368[[#This Row],[Prix total Achat]]*2)</f>
        <v>96.17241999999999</v>
      </c>
      <c r="P314" s="136">
        <f>Table1368[[#This Row],[Prix Min voulu (x2 )]]*1.2</f>
        <v>115.40690399999998</v>
      </c>
      <c r="Q314" s="134">
        <v>46210</v>
      </c>
      <c r="R314" s="134"/>
      <c r="S314" s="135"/>
      <c r="T314" s="134"/>
      <c r="U314" s="134"/>
      <c r="V314" s="137">
        <f>IF(ISBLANK(Table1368[[#This Row],[Date réception Achat]]),"",IF(ISBLANK(Table1368[[#This Row],[Date revente]]),TODAY(),Table1368[[#This Row],[Date revente]])-Table1368[[#This Row],[Date réception Achat]])</f>
        <v>97</v>
      </c>
      <c r="W31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14" s="135">
        <f>IF(Table1368[[#This Row],[Prix de revente]]="","",Table1368[[#This Row],[Prix de revente]]-Table1368[[#This Row],[Prix total Achat]])</f>
      </c>
      <c r="Y314" s="138">
        <f>IF(Table1368[[#This Row],[Prix de revente]]="","",(Table1368[[#This Row],[Prix de revente]]/Table1368[[#This Row],[Prix total Achat]]))</f>
      </c>
      <c r="Z314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14" s="139">
        <f>IF(ISBLANK(Table1368[[#This Row],[Date relisting]]),"",IF(ISBLANK(Table1368[[#This Row],[Date relisting]]),TODAY(),Table1368[[#This Row],[Date relisting]])-Table1368[[#This Row],[Date réception Achat]])</f>
        <v>4</v>
      </c>
      <c r="AB314" s="139">
        <f>IF(ISBLANK(Table1368[[#This Row],[Date revente]]),"",IF(ISBLANK(Table1368[[#This Row],[Date revente]]),TODAY(),Table1368[[#This Row],[Date revente]])-Table1368[[#This Row],[Date relisting]])</f>
      </c>
      <c r="AC314" s="139">
        <f>IF(ISBLANK(Table1368[[#This Row],[Date revente]]),"",IF(ISBLANK(Table1368[[#This Row],[Date revente]]),TODAY(),Table1368[[#This Row],[Date revente]])-Table1368[[#This Row],[Date réception Achat]])</f>
      </c>
      <c r="AD314" s="139">
        <f>IF(ISBLANK(Table1368[[#This Row],[Date revente]]),"",IF(ISBLANK(Table1368[[#This Row],[Date revente]]),TODAY(),Table1368[[#This Row],[Date revente]])-Table1368[[#This Row],[Date achat]])</f>
      </c>
    </row>
    <row r="315" spans="1:30" x14ac:dyDescent="0.25">
      <c r="A315" s="134">
        <v>46196</v>
      </c>
      <c r="B315" s="146" t="s">
        <v>885</v>
      </c>
      <c r="C315" s="134" t="s">
        <v>886</v>
      </c>
      <c r="D315" s="156" t="s">
        <v>881</v>
      </c>
      <c r="E315" s="156"/>
      <c r="F315" s="156"/>
      <c r="G315" s="159" t="s">
        <v>882</v>
      </c>
      <c r="H315" s="155" t="s">
        <v>213</v>
      </c>
      <c r="I315" s="134" t="s">
        <v>165</v>
      </c>
      <c r="J315" s="134" t="s">
        <v>157</v>
      </c>
      <c r="K315" s="135">
        <v>30.25</v>
      </c>
      <c r="L315" s="135">
        <f>Table1368[[#This Row],[Prix total Achat]]-Table1368[[#This Row],[Prix article]]</f>
        <v>20.696209999999994</v>
      </c>
      <c r="M315" s="135">
        <v>50.946209999999994</v>
      </c>
      <c r="N315" s="134">
        <v>46206</v>
      </c>
      <c r="O315" s="136">
        <f>(Table1368[[#This Row],[Prix total Achat]]*2)</f>
        <v>101.89241999999999</v>
      </c>
      <c r="P315" s="136">
        <f>Table1368[[#This Row],[Prix Min voulu (x2 )]]*1.2</f>
        <v>122.27090399999997</v>
      </c>
      <c r="Q315" s="134">
        <v>46213</v>
      </c>
      <c r="R315" s="134">
        <v>46220</v>
      </c>
      <c r="S315" s="135">
        <v>105</v>
      </c>
      <c r="T315" s="134" t="s">
        <v>160</v>
      </c>
      <c r="U315" s="134" t="s">
        <v>157</v>
      </c>
      <c r="V315" s="137">
        <f>IF(ISBLANK(Table1368[[#This Row],[Date réception Achat]]),"",IF(ISBLANK(Table1368[[#This Row],[Date revente]]),TODAY(),Table1368[[#This Row],[Date revente]])-Table1368[[#This Row],[Date réception Achat]])</f>
        <v>14</v>
      </c>
      <c r="W31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15" s="135">
        <f>IF(Table1368[[#This Row],[Prix de revente]]="","",Table1368[[#This Row],[Prix de revente]]-Table1368[[#This Row],[Prix total Achat]])</f>
        <v>54.053790000000006</v>
      </c>
      <c r="Y315" s="138">
        <f>IF(Table1368[[#This Row],[Prix de revente]]="","",(Table1368[[#This Row],[Prix de revente]]/Table1368[[#This Row],[Prix total Achat]]))</f>
        <v>2.0609972753616024</v>
      </c>
      <c r="Z315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15" s="139">
        <f>IF(ISBLANK(Table1368[[#This Row],[Date relisting]]),"",IF(ISBLANK(Table1368[[#This Row],[Date relisting]]),TODAY(),Table1368[[#This Row],[Date relisting]])-Table1368[[#This Row],[Date réception Achat]])</f>
        <v>7</v>
      </c>
      <c r="AB315" s="139">
        <f>IF(ISBLANK(Table1368[[#This Row],[Date revente]]),"",IF(ISBLANK(Table1368[[#This Row],[Date revente]]),TODAY(),Table1368[[#This Row],[Date revente]])-Table1368[[#This Row],[Date relisting]])</f>
        <v>7</v>
      </c>
      <c r="AC315" s="139">
        <f>IF(ISBLANK(Table1368[[#This Row],[Date revente]]),"",IF(ISBLANK(Table1368[[#This Row],[Date revente]]),TODAY(),Table1368[[#This Row],[Date revente]])-Table1368[[#This Row],[Date réception Achat]])</f>
        <v>14</v>
      </c>
      <c r="AD315" s="139">
        <f>IF(ISBLANK(Table1368[[#This Row],[Date revente]]),"",IF(ISBLANK(Table1368[[#This Row],[Date revente]]),TODAY(),Table1368[[#This Row],[Date revente]])-Table1368[[#This Row],[Date achat]])</f>
        <v>24</v>
      </c>
    </row>
    <row r="316" spans="1:30" x14ac:dyDescent="0.25">
      <c r="A316" s="134">
        <v>46196</v>
      </c>
      <c r="B316" s="148" t="s">
        <v>887</v>
      </c>
      <c r="C316" s="134" t="s">
        <v>888</v>
      </c>
      <c r="D316" s="156" t="s">
        <v>881</v>
      </c>
      <c r="E316" s="156"/>
      <c r="F316" s="156"/>
      <c r="G316" s="159" t="s">
        <v>882</v>
      </c>
      <c r="H316" s="155" t="s">
        <v>213</v>
      </c>
      <c r="I316" s="134" t="s">
        <v>165</v>
      </c>
      <c r="J316" s="134" t="s">
        <v>157</v>
      </c>
      <c r="K316" s="135">
        <v>40.8375</v>
      </c>
      <c r="L316" s="135">
        <f>Table1368[[#This Row],[Prix total Achat]]-Table1368[[#This Row],[Prix article]]</f>
        <v>20.69621</v>
      </c>
      <c r="M316" s="135">
        <v>61.53371</v>
      </c>
      <c r="N316" s="134">
        <v>46206</v>
      </c>
      <c r="O316" s="136">
        <f>(Table1368[[#This Row],[Prix total Achat]]*2)</f>
        <v>123.06742</v>
      </c>
      <c r="P316" s="136">
        <f>Table1368[[#This Row],[Prix Min voulu (x2 )]]*1.2</f>
        <v>147.680904</v>
      </c>
      <c r="Q316" s="134">
        <v>46210</v>
      </c>
      <c r="R316" s="134">
        <v>46277</v>
      </c>
      <c r="S316" s="135">
        <v>116.81</v>
      </c>
      <c r="T316" s="134" t="s">
        <v>160</v>
      </c>
      <c r="U316" s="134" t="s">
        <v>189</v>
      </c>
      <c r="V316" s="137">
        <f>IF(ISBLANK(Table1368[[#This Row],[Date réception Achat]]),"",IF(ISBLANK(Table1368[[#This Row],[Date revente]]),TODAY(),Table1368[[#This Row],[Date revente]])-Table1368[[#This Row],[Date réception Achat]])</f>
        <v>71</v>
      </c>
      <c r="W31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16" s="135">
        <f>IF(Table1368[[#This Row],[Prix de revente]]="","",Table1368[[#This Row],[Prix de revente]]-Table1368[[#This Row],[Prix total Achat]])</f>
        <v>55.27629</v>
      </c>
      <c r="Y316" s="138">
        <f>IF(Table1368[[#This Row],[Prix de revente]]="","",(Table1368[[#This Row],[Prix de revente]]/Table1368[[#This Row],[Prix total Achat]]))</f>
        <v>1.8983090731893137</v>
      </c>
      <c r="Z316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16" s="139">
        <f>IF(ISBLANK(Table1368[[#This Row],[Date relisting]]),"",IF(ISBLANK(Table1368[[#This Row],[Date relisting]]),TODAY(),Table1368[[#This Row],[Date relisting]])-Table1368[[#This Row],[Date réception Achat]])</f>
        <v>4</v>
      </c>
      <c r="AB316" s="139">
        <f>IF(ISBLANK(Table1368[[#This Row],[Date revente]]),"",IF(ISBLANK(Table1368[[#This Row],[Date revente]]),TODAY(),Table1368[[#This Row],[Date revente]])-Table1368[[#This Row],[Date relisting]])</f>
        <v>67</v>
      </c>
      <c r="AC316" s="139">
        <f>IF(ISBLANK(Table1368[[#This Row],[Date revente]]),"",IF(ISBLANK(Table1368[[#This Row],[Date revente]]),TODAY(),Table1368[[#This Row],[Date revente]])-Table1368[[#This Row],[Date réception Achat]])</f>
        <v>71</v>
      </c>
      <c r="AD316" s="139">
        <f>IF(ISBLANK(Table1368[[#This Row],[Date revente]]),"",IF(ISBLANK(Table1368[[#This Row],[Date revente]]),TODAY(),Table1368[[#This Row],[Date revente]])-Table1368[[#This Row],[Date achat]])</f>
        <v>81</v>
      </c>
    </row>
    <row r="317" spans="1:30" x14ac:dyDescent="0.25">
      <c r="A317" s="134">
        <v>46196</v>
      </c>
      <c r="B317" s="148" t="s">
        <v>889</v>
      </c>
      <c r="C317" s="134" t="s">
        <v>890</v>
      </c>
      <c r="D317" s="156" t="s">
        <v>881</v>
      </c>
      <c r="E317" s="156"/>
      <c r="F317" s="156"/>
      <c r="G317" s="159" t="s">
        <v>882</v>
      </c>
      <c r="H317" s="155" t="s">
        <v>213</v>
      </c>
      <c r="I317" s="134" t="s">
        <v>165</v>
      </c>
      <c r="J317" s="134" t="s">
        <v>157</v>
      </c>
      <c r="K317" s="135">
        <v>17.16</v>
      </c>
      <c r="L317" s="135">
        <f>Table1368[[#This Row],[Prix total Achat]]-Table1368[[#This Row],[Prix article]]</f>
        <v>20.696209999999997</v>
      </c>
      <c r="M317" s="135">
        <v>37.85621</v>
      </c>
      <c r="N317" s="134">
        <v>46206</v>
      </c>
      <c r="O317" s="136">
        <f>(Table1368[[#This Row],[Prix total Achat]]*2)</f>
        <v>75.71242</v>
      </c>
      <c r="P317" s="136">
        <f>Table1368[[#This Row],[Prix Min voulu (x2 )]]*1.2</f>
        <v>90.85490399999999</v>
      </c>
      <c r="Q317" s="134">
        <v>46213</v>
      </c>
      <c r="R317" s="134">
        <v>46234</v>
      </c>
      <c r="S317" s="135">
        <v>93.6</v>
      </c>
      <c r="T317" s="134" t="s">
        <v>891</v>
      </c>
      <c r="U317" s="134" t="s">
        <v>157</v>
      </c>
      <c r="V317" s="137">
        <f>IF(ISBLANK(Table1368[[#This Row],[Date réception Achat]]),"",IF(ISBLANK(Table1368[[#This Row],[Date revente]]),TODAY(),Table1368[[#This Row],[Date revente]])-Table1368[[#This Row],[Date réception Achat]])</f>
        <v>28</v>
      </c>
      <c r="W31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17" s="135">
        <f>IF(Table1368[[#This Row],[Prix de revente]]="","",Table1368[[#This Row],[Prix de revente]]-Table1368[[#This Row],[Prix total Achat]])</f>
        <v>55.74379</v>
      </c>
      <c r="Y317" s="138">
        <f>IF(Table1368[[#This Row],[Prix de revente]]="","",(Table1368[[#This Row],[Prix de revente]]/Table1368[[#This Row],[Prix total Achat]]))</f>
        <v>2.4725137566597395</v>
      </c>
      <c r="Z317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17" s="139">
        <f>IF(ISBLANK(Table1368[[#This Row],[Date relisting]]),"",IF(ISBLANK(Table1368[[#This Row],[Date relisting]]),TODAY(),Table1368[[#This Row],[Date relisting]])-Table1368[[#This Row],[Date réception Achat]])</f>
        <v>7</v>
      </c>
      <c r="AB317" s="139">
        <f>IF(ISBLANK(Table1368[[#This Row],[Date revente]]),"",IF(ISBLANK(Table1368[[#This Row],[Date revente]]),TODAY(),Table1368[[#This Row],[Date revente]])-Table1368[[#This Row],[Date relisting]])</f>
        <v>21</v>
      </c>
      <c r="AC317" s="139">
        <f>IF(ISBLANK(Table1368[[#This Row],[Date revente]]),"",IF(ISBLANK(Table1368[[#This Row],[Date revente]]),TODAY(),Table1368[[#This Row],[Date revente]])-Table1368[[#This Row],[Date réception Achat]])</f>
        <v>28</v>
      </c>
      <c r="AD317" s="139">
        <f>IF(ISBLANK(Table1368[[#This Row],[Date revente]]),"",IF(ISBLANK(Table1368[[#This Row],[Date revente]]),TODAY(),Table1368[[#This Row],[Date revente]])-Table1368[[#This Row],[Date achat]])</f>
        <v>38</v>
      </c>
    </row>
    <row r="318" spans="1:30" x14ac:dyDescent="0.25">
      <c r="A318" s="134">
        <v>46202</v>
      </c>
      <c r="B318" s="141" t="s">
        <v>892</v>
      </c>
      <c r="C318" s="134" t="s">
        <v>893</v>
      </c>
      <c r="D318" s="156" t="s">
        <v>894</v>
      </c>
      <c r="E318" s="156"/>
      <c r="F318" s="156"/>
      <c r="G318" s="159" t="s">
        <v>163</v>
      </c>
      <c r="H318" s="155" t="s">
        <v>178</v>
      </c>
      <c r="I318" s="134" t="s">
        <v>165</v>
      </c>
      <c r="J318" s="134" t="s">
        <v>157</v>
      </c>
      <c r="K318" s="135">
        <v>19.799999999999997</v>
      </c>
      <c r="L318" s="135">
        <f>Table1368[[#This Row],[Prix total Achat]]-Table1368[[#This Row],[Prix article]]</f>
        <v>18.837289555555557</v>
      </c>
      <c r="M318" s="135">
        <v>38.637289555555554</v>
      </c>
      <c r="N318" s="134">
        <v>46209</v>
      </c>
      <c r="O318" s="136">
        <f>(Table1368[[#This Row],[Prix total Achat]]*2)</f>
        <v>77.27457911111111</v>
      </c>
      <c r="P318" s="136">
        <f>Table1368[[#This Row],[Prix Min voulu (x2 )]]*1.2</f>
        <v>92.72949493333333</v>
      </c>
      <c r="Q318" s="134">
        <v>46211</v>
      </c>
      <c r="R318" s="134"/>
      <c r="S318" s="135"/>
      <c r="T318" s="134"/>
      <c r="U318" s="134"/>
      <c r="V318" s="137">
        <f>IF(ISBLANK(Table1368[[#This Row],[Date réception Achat]]),"",IF(ISBLANK(Table1368[[#This Row],[Date revente]]),TODAY(),Table1368[[#This Row],[Date revente]])-Table1368[[#This Row],[Date réception Achat]])</f>
        <v>94</v>
      </c>
      <c r="W31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18" s="135">
        <f>IF(Table1368[[#This Row],[Prix de revente]]="","",Table1368[[#This Row],[Prix de revente]]-Table1368[[#This Row],[Prix total Achat]])</f>
      </c>
      <c r="Y318" s="138">
        <f>IF(Table1368[[#This Row],[Prix de revente]]="","",(Table1368[[#This Row],[Prix de revente]]/Table1368[[#This Row],[Prix total Achat]]))</f>
      </c>
      <c r="Z318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18" s="139">
        <f>IF(ISBLANK(Table1368[[#This Row],[Date relisting]]),"",IF(ISBLANK(Table1368[[#This Row],[Date relisting]]),TODAY(),Table1368[[#This Row],[Date relisting]])-Table1368[[#This Row],[Date réception Achat]])</f>
        <v>2</v>
      </c>
      <c r="AB318" s="139">
        <f>IF(ISBLANK(Table1368[[#This Row],[Date revente]]),"",IF(ISBLANK(Table1368[[#This Row],[Date revente]]),TODAY(),Table1368[[#This Row],[Date revente]])-Table1368[[#This Row],[Date relisting]])</f>
      </c>
      <c r="AC318" s="139">
        <f>IF(ISBLANK(Table1368[[#This Row],[Date revente]]),"",IF(ISBLANK(Table1368[[#This Row],[Date revente]]),TODAY(),Table1368[[#This Row],[Date revente]])-Table1368[[#This Row],[Date réception Achat]])</f>
      </c>
      <c r="AD318" s="139">
        <f>IF(ISBLANK(Table1368[[#This Row],[Date revente]]),"",IF(ISBLANK(Table1368[[#This Row],[Date revente]]),TODAY(),Table1368[[#This Row],[Date revente]])-Table1368[[#This Row],[Date achat]])</f>
      </c>
    </row>
    <row r="319" spans="1:30" x14ac:dyDescent="0.25">
      <c r="A319" s="134">
        <v>46202</v>
      </c>
      <c r="B319" s="141" t="s">
        <v>895</v>
      </c>
      <c r="C319" s="134" t="s">
        <v>896</v>
      </c>
      <c r="D319" s="156" t="s">
        <v>894</v>
      </c>
      <c r="E319" s="156"/>
      <c r="F319" s="156"/>
      <c r="G319" s="159" t="s">
        <v>882</v>
      </c>
      <c r="H319" s="155" t="s">
        <v>213</v>
      </c>
      <c r="I319" s="134" t="s">
        <v>165</v>
      </c>
      <c r="J319" s="134" t="s">
        <v>157</v>
      </c>
      <c r="K319" s="135">
        <v>20.894499999999997</v>
      </c>
      <c r="L319" s="135">
        <f>Table1368[[#This Row],[Prix total Achat]]-Table1368[[#This Row],[Prix article]]</f>
        <v>18.837289555555554</v>
      </c>
      <c r="M319" s="135">
        <v>39.73178955555555</v>
      </c>
      <c r="N319" s="134">
        <v>46209</v>
      </c>
      <c r="O319" s="136">
        <f>(Table1368[[#This Row],[Prix total Achat]]*2)</f>
        <v>79.4635791111111</v>
      </c>
      <c r="P319" s="136">
        <f>Table1368[[#This Row],[Prix Min voulu (x2 )]]*1.2</f>
        <v>95.35629493333332</v>
      </c>
      <c r="Q319" s="134">
        <v>46212</v>
      </c>
      <c r="R319" s="134"/>
      <c r="S319" s="135"/>
      <c r="T319" s="134"/>
      <c r="U319" s="134"/>
      <c r="V319" s="137">
        <f>IF(ISBLANK(Table1368[[#This Row],[Date réception Achat]]),"",IF(ISBLANK(Table1368[[#This Row],[Date revente]]),TODAY(),Table1368[[#This Row],[Date revente]])-Table1368[[#This Row],[Date réception Achat]])</f>
        <v>94</v>
      </c>
      <c r="W31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19" s="135">
        <f>IF(Table1368[[#This Row],[Prix de revente]]="","",Table1368[[#This Row],[Prix de revente]]-Table1368[[#This Row],[Prix total Achat]])</f>
      </c>
      <c r="Y319" s="138">
        <f>IF(Table1368[[#This Row],[Prix de revente]]="","",(Table1368[[#This Row],[Prix de revente]]/Table1368[[#This Row],[Prix total Achat]]))</f>
      </c>
      <c r="Z319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19" s="139">
        <f>IF(ISBLANK(Table1368[[#This Row],[Date relisting]]),"",IF(ISBLANK(Table1368[[#This Row],[Date relisting]]),TODAY(),Table1368[[#This Row],[Date relisting]])-Table1368[[#This Row],[Date réception Achat]])</f>
        <v>3</v>
      </c>
      <c r="AB319" s="139">
        <f>IF(ISBLANK(Table1368[[#This Row],[Date revente]]),"",IF(ISBLANK(Table1368[[#This Row],[Date revente]]),TODAY(),Table1368[[#This Row],[Date revente]])-Table1368[[#This Row],[Date relisting]])</f>
      </c>
      <c r="AC319" s="139">
        <f>IF(ISBLANK(Table1368[[#This Row],[Date revente]]),"",IF(ISBLANK(Table1368[[#This Row],[Date revente]]),TODAY(),Table1368[[#This Row],[Date revente]])-Table1368[[#This Row],[Date réception Achat]])</f>
      </c>
      <c r="AD319" s="139">
        <f>IF(ISBLANK(Table1368[[#This Row],[Date revente]]),"",IF(ISBLANK(Table1368[[#This Row],[Date revente]]),TODAY(),Table1368[[#This Row],[Date revente]])-Table1368[[#This Row],[Date achat]])</f>
      </c>
    </row>
    <row r="320" spans="1:30" x14ac:dyDescent="0.25">
      <c r="A320" s="134">
        <v>46202</v>
      </c>
      <c r="B320" s="141" t="s">
        <v>897</v>
      </c>
      <c r="C320" s="134" t="s">
        <v>898</v>
      </c>
      <c r="D320" s="156" t="s">
        <v>894</v>
      </c>
      <c r="E320" s="156"/>
      <c r="F320" s="156"/>
      <c r="G320" s="159" t="s">
        <v>882</v>
      </c>
      <c r="H320" s="155" t="s">
        <v>213</v>
      </c>
      <c r="I320" s="134" t="s">
        <v>165</v>
      </c>
      <c r="J320" s="134" t="s">
        <v>157</v>
      </c>
      <c r="K320" s="135">
        <v>20.349999999999998</v>
      </c>
      <c r="L320" s="135">
        <f>Table1368[[#This Row],[Prix total Achat]]-Table1368[[#This Row],[Prix article]]</f>
        <v>18.837289555555554</v>
      </c>
      <c r="M320" s="135">
        <v>39.18728955555555</v>
      </c>
      <c r="N320" s="134">
        <v>46209</v>
      </c>
      <c r="O320" s="136">
        <f>(Table1368[[#This Row],[Prix total Achat]]*2)</f>
        <v>78.3745791111111</v>
      </c>
      <c r="P320" s="136">
        <f>Table1368[[#This Row],[Prix Min voulu (x2 )]]*1.2</f>
        <v>94.04949493333332</v>
      </c>
      <c r="Q320" s="134">
        <v>46212</v>
      </c>
      <c r="R320" s="134">
        <v>46237</v>
      </c>
      <c r="S320" s="135">
        <v>80</v>
      </c>
      <c r="T320" s="134" t="s">
        <v>160</v>
      </c>
      <c r="U320" s="134" t="s">
        <v>157</v>
      </c>
      <c r="V320" s="137">
        <f>IF(ISBLANK(Table1368[[#This Row],[Date réception Achat]]),"",IF(ISBLANK(Table1368[[#This Row],[Date revente]]),TODAY(),Table1368[[#This Row],[Date revente]])-Table1368[[#This Row],[Date réception Achat]])</f>
        <v>28</v>
      </c>
      <c r="W32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0" s="135">
        <f>IF(Table1368[[#This Row],[Prix de revente]]="","",Table1368[[#This Row],[Prix de revente]]-Table1368[[#This Row],[Prix total Achat]])</f>
        <v>40.81271044444445</v>
      </c>
      <c r="Y320" s="138">
        <f>IF(Table1368[[#This Row],[Prix de revente]]="","",(Table1368[[#This Row],[Prix de revente]]/Table1368[[#This Row],[Prix total Achat]]))</f>
        <v>2.0414782677578285</v>
      </c>
      <c r="Z320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0" s="139">
        <f>IF(ISBLANK(Table1368[[#This Row],[Date relisting]]),"",IF(ISBLANK(Table1368[[#This Row],[Date relisting]]),TODAY(),Table1368[[#This Row],[Date relisting]])-Table1368[[#This Row],[Date réception Achat]])</f>
        <v>3</v>
      </c>
      <c r="AB320" s="139">
        <f>IF(ISBLANK(Table1368[[#This Row],[Date revente]]),"",IF(ISBLANK(Table1368[[#This Row],[Date revente]]),TODAY(),Table1368[[#This Row],[Date revente]])-Table1368[[#This Row],[Date relisting]])</f>
        <v>25</v>
      </c>
      <c r="AC320" s="139">
        <f>IF(ISBLANK(Table1368[[#This Row],[Date revente]]),"",IF(ISBLANK(Table1368[[#This Row],[Date revente]]),TODAY(),Table1368[[#This Row],[Date revente]])-Table1368[[#This Row],[Date réception Achat]])</f>
        <v>28</v>
      </c>
      <c r="AD320" s="139">
        <f>IF(ISBLANK(Table1368[[#This Row],[Date revente]]),"",IF(ISBLANK(Table1368[[#This Row],[Date revente]]),TODAY(),Table1368[[#This Row],[Date revente]])-Table1368[[#This Row],[Date achat]])</f>
        <v>35</v>
      </c>
    </row>
    <row r="321" spans="1:30" x14ac:dyDescent="0.25">
      <c r="A321" s="134">
        <v>46202</v>
      </c>
      <c r="B321" s="143" t="s">
        <v>899</v>
      </c>
      <c r="C321" s="134" t="s">
        <v>900</v>
      </c>
      <c r="D321" s="156" t="s">
        <v>894</v>
      </c>
      <c r="E321" s="156"/>
      <c r="F321" s="156"/>
      <c r="G321" s="159" t="s">
        <v>163</v>
      </c>
      <c r="H321" s="155" t="s">
        <v>178</v>
      </c>
      <c r="I321" s="134" t="s">
        <v>165</v>
      </c>
      <c r="J321" s="134" t="s">
        <v>157</v>
      </c>
      <c r="K321" s="135">
        <v>8.25</v>
      </c>
      <c r="L321" s="135">
        <f>Table1368[[#This Row],[Prix total Achat]]-Table1368[[#This Row],[Prix article]]</f>
        <v>18.837289555555557</v>
      </c>
      <c r="M321" s="135">
        <v>27.087289555555557</v>
      </c>
      <c r="N321" s="134">
        <v>46209</v>
      </c>
      <c r="O321" s="136">
        <f>(Table1368[[#This Row],[Prix total Achat]]*2)</f>
        <v>54.174579111111115</v>
      </c>
      <c r="P321" s="136">
        <f>Table1368[[#This Row],[Prix Min voulu (x2 )]]*1.2</f>
        <v>65.00949493333333</v>
      </c>
      <c r="Q321" s="134">
        <v>46211</v>
      </c>
      <c r="R321" s="134">
        <v>46291</v>
      </c>
      <c r="S321" s="135">
        <v>65</v>
      </c>
      <c r="T321" s="134" t="s">
        <v>160</v>
      </c>
      <c r="U321" s="134" t="s">
        <v>157</v>
      </c>
      <c r="V321" s="137">
        <f>IF(ISBLANK(Table1368[[#This Row],[Date réception Achat]]),"",IF(ISBLANK(Table1368[[#This Row],[Date revente]]),TODAY(),Table1368[[#This Row],[Date revente]])-Table1368[[#This Row],[Date réception Achat]])</f>
        <v>82</v>
      </c>
      <c r="W32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1" s="135">
        <f>IF(Table1368[[#This Row],[Prix de revente]]="","",Table1368[[#This Row],[Prix de revente]]-Table1368[[#This Row],[Prix total Achat]])</f>
        <v>37.91271044444444</v>
      </c>
      <c r="Y321" s="138">
        <f>IF(Table1368[[#This Row],[Prix de revente]]="","",(Table1368[[#This Row],[Prix de revente]]/Table1368[[#This Row],[Prix total Achat]]))</f>
        <v>2.3996494690502765</v>
      </c>
      <c r="Z321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1" s="139">
        <f>IF(ISBLANK(Table1368[[#This Row],[Date relisting]]),"",IF(ISBLANK(Table1368[[#This Row],[Date relisting]]),TODAY(),Table1368[[#This Row],[Date relisting]])-Table1368[[#This Row],[Date réception Achat]])</f>
        <v>2</v>
      </c>
      <c r="AB321" s="139">
        <f>IF(ISBLANK(Table1368[[#This Row],[Date revente]]),"",IF(ISBLANK(Table1368[[#This Row],[Date revente]]),TODAY(),Table1368[[#This Row],[Date revente]])-Table1368[[#This Row],[Date relisting]])</f>
        <v>80</v>
      </c>
      <c r="AC321" s="139">
        <f>IF(ISBLANK(Table1368[[#This Row],[Date revente]]),"",IF(ISBLANK(Table1368[[#This Row],[Date revente]]),TODAY(),Table1368[[#This Row],[Date revente]])-Table1368[[#This Row],[Date réception Achat]])</f>
        <v>82</v>
      </c>
      <c r="AD321" s="139">
        <f>IF(ISBLANK(Table1368[[#This Row],[Date revente]]),"",IF(ISBLANK(Table1368[[#This Row],[Date revente]]),TODAY(),Table1368[[#This Row],[Date revente]])-Table1368[[#This Row],[Date achat]])</f>
        <v>89</v>
      </c>
    </row>
    <row r="322" spans="1:30" x14ac:dyDescent="0.25">
      <c r="A322" s="134">
        <v>46202</v>
      </c>
      <c r="B322" s="143" t="s">
        <v>901</v>
      </c>
      <c r="C322" s="134" t="s">
        <v>902</v>
      </c>
      <c r="D322" s="156" t="s">
        <v>894</v>
      </c>
      <c r="E322" s="156"/>
      <c r="F322" s="156"/>
      <c r="G322" s="159" t="s">
        <v>903</v>
      </c>
      <c r="H322" s="155" t="s">
        <v>213</v>
      </c>
      <c r="I322" s="134" t="s">
        <v>165</v>
      </c>
      <c r="J322" s="134" t="s">
        <v>157</v>
      </c>
      <c r="K322" s="135">
        <v>0.98</v>
      </c>
      <c r="L322" s="135">
        <f>Table1368[[#This Row],[Prix total Achat]]-Table1368[[#This Row],[Prix article]]</f>
        <v>2.7</v>
      </c>
      <c r="M322" s="135">
        <v>3.68</v>
      </c>
      <c r="N322" s="134">
        <v>46209</v>
      </c>
      <c r="O322" s="136">
        <f>(Table1368[[#This Row],[Prix total Achat]]*2)</f>
        <v>7.36</v>
      </c>
      <c r="P322" s="136">
        <f>Table1368[[#This Row],[Prix Min voulu (x2 )]]*1.2</f>
        <v>8.832</v>
      </c>
      <c r="Q322" s="134">
        <v>46217</v>
      </c>
      <c r="R322" s="134">
        <v>46242</v>
      </c>
      <c r="S322" s="135">
        <v>10</v>
      </c>
      <c r="T322" s="134" t="s">
        <v>160</v>
      </c>
      <c r="U322" s="134" t="s">
        <v>157</v>
      </c>
      <c r="V322" s="137">
        <f>IF(ISBLANK(Table1368[[#This Row],[Date réception Achat]]),"",IF(ISBLANK(Table1368[[#This Row],[Date revente]]),TODAY(),Table1368[[#This Row],[Date revente]])-Table1368[[#This Row],[Date réception Achat]])</f>
        <v>33</v>
      </c>
      <c r="W32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2" s="135">
        <f>IF(Table1368[[#This Row],[Prix de revente]]="","",Table1368[[#This Row],[Prix de revente]]-Table1368[[#This Row],[Prix total Achat]])</f>
        <v>6.32</v>
      </c>
      <c r="Y322" s="138">
        <f>IF(Table1368[[#This Row],[Prix de revente]]="","",(Table1368[[#This Row],[Prix de revente]]/Table1368[[#This Row],[Prix total Achat]]))</f>
        <v>2.717391304347826</v>
      </c>
      <c r="Z322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2" s="139">
        <f>IF(ISBLANK(Table1368[[#This Row],[Date relisting]]),"",IF(ISBLANK(Table1368[[#This Row],[Date relisting]]),TODAY(),Table1368[[#This Row],[Date relisting]])-Table1368[[#This Row],[Date réception Achat]])</f>
        <v>8</v>
      </c>
      <c r="AB322" s="139">
        <f>IF(ISBLANK(Table1368[[#This Row],[Date revente]]),"",IF(ISBLANK(Table1368[[#This Row],[Date revente]]),TODAY(),Table1368[[#This Row],[Date revente]])-Table1368[[#This Row],[Date relisting]])</f>
        <v>25</v>
      </c>
      <c r="AC322" s="139">
        <f>IF(ISBLANK(Table1368[[#This Row],[Date revente]]),"",IF(ISBLANK(Table1368[[#This Row],[Date revente]]),TODAY(),Table1368[[#This Row],[Date revente]])-Table1368[[#This Row],[Date réception Achat]])</f>
        <v>33</v>
      </c>
      <c r="AD322" s="139">
        <f>IF(ISBLANK(Table1368[[#This Row],[Date revente]]),"",IF(ISBLANK(Table1368[[#This Row],[Date revente]]),TODAY(),Table1368[[#This Row],[Date revente]])-Table1368[[#This Row],[Date achat]])</f>
        <v>40</v>
      </c>
    </row>
    <row r="323" spans="1:30" x14ac:dyDescent="0.25">
      <c r="A323" s="134">
        <v>46202</v>
      </c>
      <c r="B323" s="143" t="s">
        <v>904</v>
      </c>
      <c r="C323" s="134" t="s">
        <v>905</v>
      </c>
      <c r="D323" s="156" t="s">
        <v>894</v>
      </c>
      <c r="E323" s="156"/>
      <c r="F323" s="156"/>
      <c r="G323" s="159" t="s">
        <v>906</v>
      </c>
      <c r="H323" s="155" t="s">
        <v>213</v>
      </c>
      <c r="I323" s="134" t="s">
        <v>165</v>
      </c>
      <c r="J323" s="134" t="s">
        <v>157</v>
      </c>
      <c r="K323" s="135">
        <v>0.98</v>
      </c>
      <c r="L323" s="135">
        <f>Table1368[[#This Row],[Prix total Achat]]-Table1368[[#This Row],[Prix article]]</f>
        <v>2.7</v>
      </c>
      <c r="M323" s="135">
        <v>3.68</v>
      </c>
      <c r="N323" s="134">
        <v>46209</v>
      </c>
      <c r="O323" s="136">
        <f>(Table1368[[#This Row],[Prix total Achat]]*2)</f>
        <v>7.36</v>
      </c>
      <c r="P323" s="136">
        <f>Table1368[[#This Row],[Prix Min voulu (x2 )]]*1.2</f>
        <v>8.832</v>
      </c>
      <c r="Q323" s="134">
        <v>46217</v>
      </c>
      <c r="R323" s="134">
        <v>46230</v>
      </c>
      <c r="S323" s="135">
        <v>15</v>
      </c>
      <c r="T323" s="134" t="s">
        <v>160</v>
      </c>
      <c r="U323" s="134" t="s">
        <v>189</v>
      </c>
      <c r="V323" s="137">
        <f>IF(ISBLANK(Table1368[[#This Row],[Date réception Achat]]),"",IF(ISBLANK(Table1368[[#This Row],[Date revente]]),TODAY(),Table1368[[#This Row],[Date revente]])-Table1368[[#This Row],[Date réception Achat]])</f>
        <v>21</v>
      </c>
      <c r="W32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3" s="135">
        <f>IF(Table1368[[#This Row],[Prix de revente]]="","",Table1368[[#This Row],[Prix de revente]]-Table1368[[#This Row],[Prix total Achat]])</f>
        <v>11.32</v>
      </c>
      <c r="Y323" s="138">
        <f>IF(Table1368[[#This Row],[Prix de revente]]="","",(Table1368[[#This Row],[Prix de revente]]/Table1368[[#This Row],[Prix total Achat]]))</f>
        <v>4.076086956521739</v>
      </c>
      <c r="Z323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3" s="139">
        <f>IF(ISBLANK(Table1368[[#This Row],[Date relisting]]),"",IF(ISBLANK(Table1368[[#This Row],[Date relisting]]),TODAY(),Table1368[[#This Row],[Date relisting]])-Table1368[[#This Row],[Date réception Achat]])</f>
        <v>8</v>
      </c>
      <c r="AB323" s="139">
        <f>IF(ISBLANK(Table1368[[#This Row],[Date revente]]),"",IF(ISBLANK(Table1368[[#This Row],[Date revente]]),TODAY(),Table1368[[#This Row],[Date revente]])-Table1368[[#This Row],[Date relisting]])</f>
        <v>13</v>
      </c>
      <c r="AC323" s="139">
        <f>IF(ISBLANK(Table1368[[#This Row],[Date revente]]),"",IF(ISBLANK(Table1368[[#This Row],[Date revente]]),TODAY(),Table1368[[#This Row],[Date revente]])-Table1368[[#This Row],[Date réception Achat]])</f>
        <v>21</v>
      </c>
      <c r="AD323" s="139">
        <f>IF(ISBLANK(Table1368[[#This Row],[Date revente]]),"",IF(ISBLANK(Table1368[[#This Row],[Date revente]]),TODAY(),Table1368[[#This Row],[Date revente]])-Table1368[[#This Row],[Date achat]])</f>
        <v>28</v>
      </c>
    </row>
    <row r="324" spans="1:30" x14ac:dyDescent="0.25">
      <c r="A324" s="134">
        <v>46202</v>
      </c>
      <c r="B324" s="143" t="s">
        <v>907</v>
      </c>
      <c r="C324" s="134" t="s">
        <v>908</v>
      </c>
      <c r="D324" s="156" t="s">
        <v>894</v>
      </c>
      <c r="E324" s="156"/>
      <c r="F324" s="156"/>
      <c r="G324" s="159" t="s">
        <v>906</v>
      </c>
      <c r="H324" s="155" t="s">
        <v>213</v>
      </c>
      <c r="I324" s="134" t="s">
        <v>165</v>
      </c>
      <c r="J324" s="134" t="s">
        <v>157</v>
      </c>
      <c r="K324" s="135">
        <v>0.98</v>
      </c>
      <c r="L324" s="135">
        <f>Table1368[[#This Row],[Prix total Achat]]-Table1368[[#This Row],[Prix article]]</f>
        <v>2.7</v>
      </c>
      <c r="M324" s="135">
        <v>3.68</v>
      </c>
      <c r="N324" s="134">
        <v>46209</v>
      </c>
      <c r="O324" s="136">
        <f>(Table1368[[#This Row],[Prix total Achat]]*2)</f>
        <v>7.36</v>
      </c>
      <c r="P324" s="136">
        <f>Table1368[[#This Row],[Prix Min voulu (x2 )]]*1.2</f>
        <v>8.832</v>
      </c>
      <c r="Q324" s="134">
        <v>46218</v>
      </c>
      <c r="R324" s="134">
        <v>46230</v>
      </c>
      <c r="S324" s="135">
        <v>15</v>
      </c>
      <c r="T324" s="134" t="s">
        <v>160</v>
      </c>
      <c r="U324" s="134" t="s">
        <v>189</v>
      </c>
      <c r="V324" s="137">
        <f>IF(ISBLANK(Table1368[[#This Row],[Date réception Achat]]),"",IF(ISBLANK(Table1368[[#This Row],[Date revente]]),TODAY(),Table1368[[#This Row],[Date revente]])-Table1368[[#This Row],[Date réception Achat]])</f>
        <v>21</v>
      </c>
      <c r="W32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4" s="135">
        <f>IF(Table1368[[#This Row],[Prix de revente]]="","",Table1368[[#This Row],[Prix de revente]]-Table1368[[#This Row],[Prix total Achat]])</f>
        <v>11.32</v>
      </c>
      <c r="Y324" s="138">
        <f>IF(Table1368[[#This Row],[Prix de revente]]="","",(Table1368[[#This Row],[Prix de revente]]/Table1368[[#This Row],[Prix total Achat]]))</f>
        <v>4.076086956521739</v>
      </c>
      <c r="Z324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4" s="139">
        <f>IF(ISBLANK(Table1368[[#This Row],[Date relisting]]),"",IF(ISBLANK(Table1368[[#This Row],[Date relisting]]),TODAY(),Table1368[[#This Row],[Date relisting]])-Table1368[[#This Row],[Date réception Achat]])</f>
        <v>9</v>
      </c>
      <c r="AB324" s="139">
        <f>IF(ISBLANK(Table1368[[#This Row],[Date revente]]),"",IF(ISBLANK(Table1368[[#This Row],[Date revente]]),TODAY(),Table1368[[#This Row],[Date revente]])-Table1368[[#This Row],[Date relisting]])</f>
        <v>12</v>
      </c>
      <c r="AC324" s="139">
        <f>IF(ISBLANK(Table1368[[#This Row],[Date revente]]),"",IF(ISBLANK(Table1368[[#This Row],[Date revente]]),TODAY(),Table1368[[#This Row],[Date revente]])-Table1368[[#This Row],[Date réception Achat]])</f>
        <v>21</v>
      </c>
      <c r="AD324" s="139">
        <f>IF(ISBLANK(Table1368[[#This Row],[Date revente]]),"",IF(ISBLANK(Table1368[[#This Row],[Date revente]]),TODAY(),Table1368[[#This Row],[Date revente]])-Table1368[[#This Row],[Date achat]])</f>
        <v>28</v>
      </c>
    </row>
    <row r="325" spans="1:30" x14ac:dyDescent="0.25">
      <c r="A325" s="134">
        <v>46202</v>
      </c>
      <c r="B325" s="143" t="s">
        <v>909</v>
      </c>
      <c r="C325" s="134" t="s">
        <v>910</v>
      </c>
      <c r="D325" s="156" t="s">
        <v>894</v>
      </c>
      <c r="E325" s="156"/>
      <c r="F325" s="156"/>
      <c r="G325" s="159" t="s">
        <v>903</v>
      </c>
      <c r="H325" s="155" t="s">
        <v>213</v>
      </c>
      <c r="I325" s="134" t="s">
        <v>165</v>
      </c>
      <c r="J325" s="134" t="s">
        <v>157</v>
      </c>
      <c r="K325" s="135">
        <v>0.98</v>
      </c>
      <c r="L325" s="135">
        <f>Table1368[[#This Row],[Prix total Achat]]-Table1368[[#This Row],[Prix article]]</f>
        <v>2.7</v>
      </c>
      <c r="M325" s="135">
        <v>3.68</v>
      </c>
      <c r="N325" s="134">
        <v>46209</v>
      </c>
      <c r="O325" s="136">
        <f>(Table1368[[#This Row],[Prix total Achat]]*2)</f>
        <v>7.36</v>
      </c>
      <c r="P325" s="136">
        <f>Table1368[[#This Row],[Prix Min voulu (x2 )]]*1.2</f>
        <v>8.832</v>
      </c>
      <c r="Q325" s="134">
        <v>46217</v>
      </c>
      <c r="R325" s="134">
        <v>46217</v>
      </c>
      <c r="S325" s="135">
        <v>16</v>
      </c>
      <c r="T325" s="134" t="s">
        <v>160</v>
      </c>
      <c r="U325" s="134" t="s">
        <v>157</v>
      </c>
      <c r="V325" s="137">
        <f>IF(ISBLANK(Table1368[[#This Row],[Date réception Achat]]),"",IF(ISBLANK(Table1368[[#This Row],[Date revente]]),TODAY(),Table1368[[#This Row],[Date revente]])-Table1368[[#This Row],[Date réception Achat]])</f>
        <v>8</v>
      </c>
      <c r="W32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5" s="135">
        <f>IF(Table1368[[#This Row],[Prix de revente]]="","",Table1368[[#This Row],[Prix de revente]]-Table1368[[#This Row],[Prix total Achat]])</f>
        <v>12.32</v>
      </c>
      <c r="Y325" s="138">
        <f>IF(Table1368[[#This Row],[Prix de revente]]="","",(Table1368[[#This Row],[Prix de revente]]/Table1368[[#This Row],[Prix total Achat]]))</f>
        <v>4.3478260869565215</v>
      </c>
      <c r="Z325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5" s="139">
        <f>IF(ISBLANK(Table1368[[#This Row],[Date relisting]]),"",IF(ISBLANK(Table1368[[#This Row],[Date relisting]]),TODAY(),Table1368[[#This Row],[Date relisting]])-Table1368[[#This Row],[Date réception Achat]])</f>
        <v>8</v>
      </c>
      <c r="AB325" s="139">
        <f>IF(ISBLANK(Table1368[[#This Row],[Date revente]]),"",IF(ISBLANK(Table1368[[#This Row],[Date revente]]),TODAY(),Table1368[[#This Row],[Date revente]])-Table1368[[#This Row],[Date relisting]])</f>
        <v>0</v>
      </c>
      <c r="AC325" s="139">
        <f>IF(ISBLANK(Table1368[[#This Row],[Date revente]]),"",IF(ISBLANK(Table1368[[#This Row],[Date revente]]),TODAY(),Table1368[[#This Row],[Date revente]])-Table1368[[#This Row],[Date réception Achat]])</f>
        <v>8</v>
      </c>
      <c r="AD325" s="139">
        <f>IF(ISBLANK(Table1368[[#This Row],[Date revente]]),"",IF(ISBLANK(Table1368[[#This Row],[Date revente]]),TODAY(),Table1368[[#This Row],[Date revente]])-Table1368[[#This Row],[Date achat]])</f>
        <v>15</v>
      </c>
    </row>
    <row r="326" spans="1:30" x14ac:dyDescent="0.25">
      <c r="A326" s="134">
        <v>46202</v>
      </c>
      <c r="B326" s="143" t="s">
        <v>911</v>
      </c>
      <c r="C326" s="134" t="s">
        <v>912</v>
      </c>
      <c r="D326" s="156" t="s">
        <v>894</v>
      </c>
      <c r="E326" s="156"/>
      <c r="F326" s="156"/>
      <c r="G326" s="159" t="s">
        <v>903</v>
      </c>
      <c r="H326" s="155" t="s">
        <v>213</v>
      </c>
      <c r="I326" s="134" t="s">
        <v>165</v>
      </c>
      <c r="J326" s="134" t="s">
        <v>157</v>
      </c>
      <c r="K326" s="135">
        <v>0.98</v>
      </c>
      <c r="L326" s="135">
        <f>Table1368[[#This Row],[Prix total Achat]]-Table1368[[#This Row],[Prix article]]</f>
        <v>2.7</v>
      </c>
      <c r="M326" s="135">
        <v>3.68</v>
      </c>
      <c r="N326" s="134">
        <v>46209</v>
      </c>
      <c r="O326" s="136">
        <f>(Table1368[[#This Row],[Prix total Achat]]*2)</f>
        <v>7.36</v>
      </c>
      <c r="P326" s="136">
        <f>Table1368[[#This Row],[Prix Min voulu (x2 )]]*1.2</f>
        <v>8.832</v>
      </c>
      <c r="Q326" s="134">
        <v>46216</v>
      </c>
      <c r="R326" s="134">
        <v>46223</v>
      </c>
      <c r="S326" s="135">
        <v>44.1</v>
      </c>
      <c r="T326" s="134" t="s">
        <v>160</v>
      </c>
      <c r="U326" s="134" t="s">
        <v>157</v>
      </c>
      <c r="V326" s="137">
        <f>IF(ISBLANK(Table1368[[#This Row],[Date réception Achat]]),"",IF(ISBLANK(Table1368[[#This Row],[Date revente]]),TODAY(),Table1368[[#This Row],[Date revente]])-Table1368[[#This Row],[Date réception Achat]])</f>
        <v>14</v>
      </c>
      <c r="W32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6" s="135">
        <f>IF(Table1368[[#This Row],[Prix de revente]]="","",Table1368[[#This Row],[Prix de revente]]-Table1368[[#This Row],[Prix total Achat]])</f>
        <v>40.42</v>
      </c>
      <c r="Y326" s="138">
        <f>IF(Table1368[[#This Row],[Prix de revente]]="","",(Table1368[[#This Row],[Prix de revente]]/Table1368[[#This Row],[Prix total Achat]]))</f>
        <v>11.983695652173912</v>
      </c>
      <c r="Z326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6" s="139">
        <f>IF(ISBLANK(Table1368[[#This Row],[Date relisting]]),"",IF(ISBLANK(Table1368[[#This Row],[Date relisting]]),TODAY(),Table1368[[#This Row],[Date relisting]])-Table1368[[#This Row],[Date réception Achat]])</f>
        <v>7</v>
      </c>
      <c r="AB326" s="139">
        <f>IF(ISBLANK(Table1368[[#This Row],[Date revente]]),"",IF(ISBLANK(Table1368[[#This Row],[Date revente]]),TODAY(),Table1368[[#This Row],[Date revente]])-Table1368[[#This Row],[Date relisting]])</f>
        <v>7</v>
      </c>
      <c r="AC326" s="139">
        <f>IF(ISBLANK(Table1368[[#This Row],[Date revente]]),"",IF(ISBLANK(Table1368[[#This Row],[Date revente]]),TODAY(),Table1368[[#This Row],[Date revente]])-Table1368[[#This Row],[Date réception Achat]])</f>
        <v>14</v>
      </c>
      <c r="AD326" s="139">
        <f>IF(ISBLANK(Table1368[[#This Row],[Date revente]]),"",IF(ISBLANK(Table1368[[#This Row],[Date revente]]),TODAY(),Table1368[[#This Row],[Date revente]])-Table1368[[#This Row],[Date achat]])</f>
        <v>21</v>
      </c>
    </row>
    <row r="327" spans="1:30" x14ac:dyDescent="0.25">
      <c r="A327" s="134">
        <v>46202</v>
      </c>
      <c r="B327" s="143" t="s">
        <v>913</v>
      </c>
      <c r="C327" s="134" t="s">
        <v>914</v>
      </c>
      <c r="D327" s="156" t="s">
        <v>894</v>
      </c>
      <c r="E327" s="156"/>
      <c r="F327" s="156"/>
      <c r="G327" s="159" t="s">
        <v>903</v>
      </c>
      <c r="H327" s="155" t="s">
        <v>213</v>
      </c>
      <c r="I327" s="134" t="s">
        <v>165</v>
      </c>
      <c r="J327" s="134" t="s">
        <v>157</v>
      </c>
      <c r="K327" s="135">
        <v>0.98</v>
      </c>
      <c r="L327" s="135">
        <f>Table1368[[#This Row],[Prix total Achat]]-Table1368[[#This Row],[Prix article]]</f>
        <v>2.7</v>
      </c>
      <c r="M327" s="135">
        <v>3.68</v>
      </c>
      <c r="N327" s="134">
        <v>46209</v>
      </c>
      <c r="O327" s="136">
        <f>(Table1368[[#This Row],[Prix total Achat]]*2)</f>
        <v>7.36</v>
      </c>
      <c r="P327" s="136">
        <f>Table1368[[#This Row],[Prix Min voulu (x2 )]]*1.2</f>
        <v>8.832</v>
      </c>
      <c r="Q327" s="134">
        <v>46216</v>
      </c>
      <c r="R327" s="134">
        <v>46285</v>
      </c>
      <c r="S327" s="135">
        <v>16.91</v>
      </c>
      <c r="T327" s="134" t="s">
        <v>160</v>
      </c>
      <c r="U327" s="134" t="s">
        <v>189</v>
      </c>
      <c r="V327" s="137">
        <f>IF(ISBLANK(Table1368[[#This Row],[Date réception Achat]]),"",IF(ISBLANK(Table1368[[#This Row],[Date revente]]),TODAY(),Table1368[[#This Row],[Date revente]])-Table1368[[#This Row],[Date réception Achat]])</f>
        <v>76</v>
      </c>
      <c r="W32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27" s="135">
        <f>IF(Table1368[[#This Row],[Prix de revente]]="","",Table1368[[#This Row],[Prix de revente]]-Table1368[[#This Row],[Prix total Achat]])</f>
        <v>13.23</v>
      </c>
      <c r="Y327" s="138">
        <f>IF(Table1368[[#This Row],[Prix de revente]]="","",(Table1368[[#This Row],[Prix de revente]]/Table1368[[#This Row],[Prix total Achat]]))</f>
        <v>4.595108695652174</v>
      </c>
      <c r="Z327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7" s="139">
        <f>IF(ISBLANK(Table1368[[#This Row],[Date relisting]]),"",IF(ISBLANK(Table1368[[#This Row],[Date relisting]]),TODAY(),Table1368[[#This Row],[Date relisting]])-Table1368[[#This Row],[Date réception Achat]])</f>
        <v>7</v>
      </c>
      <c r="AB327" s="139">
        <f>IF(ISBLANK(Table1368[[#This Row],[Date revente]]),"",IF(ISBLANK(Table1368[[#This Row],[Date revente]]),TODAY(),Table1368[[#This Row],[Date revente]])-Table1368[[#This Row],[Date relisting]])</f>
        <v>69</v>
      </c>
      <c r="AC327" s="139">
        <f>IF(ISBLANK(Table1368[[#This Row],[Date revente]]),"",IF(ISBLANK(Table1368[[#This Row],[Date revente]]),TODAY(),Table1368[[#This Row],[Date revente]])-Table1368[[#This Row],[Date réception Achat]])</f>
        <v>76</v>
      </c>
      <c r="AD327" s="139">
        <f>IF(ISBLANK(Table1368[[#This Row],[Date revente]]),"",IF(ISBLANK(Table1368[[#This Row],[Date revente]]),TODAY(),Table1368[[#This Row],[Date revente]])-Table1368[[#This Row],[Date achat]])</f>
        <v>83</v>
      </c>
    </row>
    <row r="328" spans="1:30" x14ac:dyDescent="0.25">
      <c r="A328" s="134">
        <v>46202</v>
      </c>
      <c r="B328" s="143" t="s">
        <v>915</v>
      </c>
      <c r="C328" s="134" t="s">
        <v>916</v>
      </c>
      <c r="D328" s="156" t="s">
        <v>894</v>
      </c>
      <c r="E328" s="156"/>
      <c r="F328" s="156"/>
      <c r="G328" s="159" t="s">
        <v>906</v>
      </c>
      <c r="H328" s="155" t="s">
        <v>213</v>
      </c>
      <c r="I328" s="134" t="s">
        <v>165</v>
      </c>
      <c r="J328" s="134" t="s">
        <v>157</v>
      </c>
      <c r="K328" s="135">
        <v>0.98</v>
      </c>
      <c r="L328" s="135">
        <f>Table1368[[#This Row],[Prix total Achat]]-Table1368[[#This Row],[Prix article]]</f>
        <v>2.7</v>
      </c>
      <c r="M328" s="135">
        <v>3.68</v>
      </c>
      <c r="N328" s="134">
        <v>46209</v>
      </c>
      <c r="O328" s="136">
        <f>(Table1368[[#This Row],[Prix total Achat]]*2)</f>
        <v>7.36</v>
      </c>
      <c r="P328" s="136">
        <f>Table1368[[#This Row],[Prix Min voulu (x2 )]]*1.2</f>
        <v>8.832</v>
      </c>
      <c r="Q328" s="134">
        <v>46216</v>
      </c>
      <c r="R328" s="134"/>
      <c r="S328" s="135"/>
      <c r="T328" s="134"/>
      <c r="U328" s="134"/>
      <c r="V328" s="137">
        <f>IF(ISBLANK(Table1368[[#This Row],[Date réception Achat]]),"",IF(ISBLANK(Table1368[[#This Row],[Date revente]]),TODAY(),Table1368[[#This Row],[Date revente]])-Table1368[[#This Row],[Date réception Achat]])</f>
        <v>94</v>
      </c>
      <c r="W32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28" s="135">
        <f>IF(Table1368[[#This Row],[Prix de revente]]="","",Table1368[[#This Row],[Prix de revente]]-Table1368[[#This Row],[Prix total Achat]])</f>
      </c>
      <c r="Y328" s="138">
        <f>IF(Table1368[[#This Row],[Prix de revente]]="","",(Table1368[[#This Row],[Prix de revente]]/Table1368[[#This Row],[Prix total Achat]]))</f>
      </c>
      <c r="Z328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8" s="139">
        <f>IF(ISBLANK(Table1368[[#This Row],[Date relisting]]),"",IF(ISBLANK(Table1368[[#This Row],[Date relisting]]),TODAY(),Table1368[[#This Row],[Date relisting]])-Table1368[[#This Row],[Date réception Achat]])</f>
        <v>7</v>
      </c>
      <c r="AB328" s="139">
        <f>IF(ISBLANK(Table1368[[#This Row],[Date revente]]),"",IF(ISBLANK(Table1368[[#This Row],[Date revente]]),TODAY(),Table1368[[#This Row],[Date revente]])-Table1368[[#This Row],[Date relisting]])</f>
      </c>
      <c r="AC328" s="139">
        <f>IF(ISBLANK(Table1368[[#This Row],[Date revente]]),"",IF(ISBLANK(Table1368[[#This Row],[Date revente]]),TODAY(),Table1368[[#This Row],[Date revente]])-Table1368[[#This Row],[Date réception Achat]])</f>
      </c>
      <c r="AD328" s="139">
        <f>IF(ISBLANK(Table1368[[#This Row],[Date revente]]),"",IF(ISBLANK(Table1368[[#This Row],[Date revente]]),TODAY(),Table1368[[#This Row],[Date revente]])-Table1368[[#This Row],[Date achat]])</f>
      </c>
    </row>
    <row r="329" spans="1:30" x14ac:dyDescent="0.25">
      <c r="A329" s="134">
        <v>46202</v>
      </c>
      <c r="B329" s="143" t="s">
        <v>917</v>
      </c>
      <c r="C329" s="134" t="s">
        <v>918</v>
      </c>
      <c r="D329" s="156" t="s">
        <v>894</v>
      </c>
      <c r="E329" s="156"/>
      <c r="F329" s="156"/>
      <c r="G329" s="159" t="s">
        <v>163</v>
      </c>
      <c r="H329" s="155" t="s">
        <v>178</v>
      </c>
      <c r="I329" s="134" t="s">
        <v>165</v>
      </c>
      <c r="J329" s="134" t="s">
        <v>157</v>
      </c>
      <c r="K329" s="135">
        <v>8.25</v>
      </c>
      <c r="L329" s="135">
        <f>Table1368[[#This Row],[Prix total Achat]]-Table1368[[#This Row],[Prix article]]</f>
        <v>18.837289555555557</v>
      </c>
      <c r="M329" s="135">
        <v>27.087289555555557</v>
      </c>
      <c r="N329" s="134">
        <v>46209</v>
      </c>
      <c r="O329" s="136">
        <f>(Table1368[[#This Row],[Prix total Achat]]*2)</f>
        <v>54.174579111111115</v>
      </c>
      <c r="P329" s="136">
        <f>Table1368[[#This Row],[Prix Min voulu (x2 )]]*1.2</f>
        <v>65.00949493333333</v>
      </c>
      <c r="Q329" s="134">
        <v>46212</v>
      </c>
      <c r="R329" s="134"/>
      <c r="S329" s="135"/>
      <c r="T329" s="134"/>
      <c r="U329" s="134"/>
      <c r="V329" s="137">
        <f>IF(ISBLANK(Table1368[[#This Row],[Date réception Achat]]),"",IF(ISBLANK(Table1368[[#This Row],[Date revente]]),TODAY(),Table1368[[#This Row],[Date revente]])-Table1368[[#This Row],[Date réception Achat]])</f>
        <v>94</v>
      </c>
      <c r="W32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29" s="135">
        <f>IF(Table1368[[#This Row],[Prix de revente]]="","",Table1368[[#This Row],[Prix de revente]]-Table1368[[#This Row],[Prix total Achat]])</f>
      </c>
      <c r="Y329" s="138">
        <f>IF(Table1368[[#This Row],[Prix de revente]]="","",(Table1368[[#This Row],[Prix de revente]]/Table1368[[#This Row],[Prix total Achat]]))</f>
      </c>
      <c r="Z329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29" s="139">
        <f>IF(ISBLANK(Table1368[[#This Row],[Date relisting]]),"",IF(ISBLANK(Table1368[[#This Row],[Date relisting]]),TODAY(),Table1368[[#This Row],[Date relisting]])-Table1368[[#This Row],[Date réception Achat]])</f>
        <v>3</v>
      </c>
      <c r="AB329" s="139">
        <f>IF(ISBLANK(Table1368[[#This Row],[Date revente]]),"",IF(ISBLANK(Table1368[[#This Row],[Date revente]]),TODAY(),Table1368[[#This Row],[Date revente]])-Table1368[[#This Row],[Date relisting]])</f>
      </c>
      <c r="AC329" s="139">
        <f>IF(ISBLANK(Table1368[[#This Row],[Date revente]]),"",IF(ISBLANK(Table1368[[#This Row],[Date revente]]),TODAY(),Table1368[[#This Row],[Date revente]])-Table1368[[#This Row],[Date réception Achat]])</f>
      </c>
      <c r="AD329" s="139">
        <f>IF(ISBLANK(Table1368[[#This Row],[Date revente]]),"",IF(ISBLANK(Table1368[[#This Row],[Date revente]]),TODAY(),Table1368[[#This Row],[Date revente]])-Table1368[[#This Row],[Date achat]])</f>
      </c>
    </row>
    <row r="330" spans="1:30" x14ac:dyDescent="0.25">
      <c r="A330" s="134">
        <v>46202</v>
      </c>
      <c r="B330" s="143" t="s">
        <v>919</v>
      </c>
      <c r="C330" s="134" t="s">
        <v>920</v>
      </c>
      <c r="D330" s="156" t="s">
        <v>894</v>
      </c>
      <c r="E330" s="156"/>
      <c r="F330" s="156"/>
      <c r="G330" s="159" t="s">
        <v>163</v>
      </c>
      <c r="H330" s="155" t="s">
        <v>178</v>
      </c>
      <c r="I330" s="134" t="s">
        <v>165</v>
      </c>
      <c r="J330" s="134" t="s">
        <v>157</v>
      </c>
      <c r="K330" s="135">
        <v>11</v>
      </c>
      <c r="L330" s="135">
        <f>Table1368[[#This Row],[Prix total Achat]]-Table1368[[#This Row],[Prix article]]</f>
        <v>18.837289555555557</v>
      </c>
      <c r="M330" s="135">
        <v>29.837289555555557</v>
      </c>
      <c r="N330" s="134">
        <v>46209</v>
      </c>
      <c r="O330" s="136">
        <f>(Table1368[[#This Row],[Prix total Achat]]*2)</f>
        <v>59.674579111111115</v>
      </c>
      <c r="P330" s="136">
        <f>Table1368[[#This Row],[Prix Min voulu (x2 )]]*1.2</f>
        <v>71.60949493333334</v>
      </c>
      <c r="Q330" s="134">
        <v>46211</v>
      </c>
      <c r="R330" s="134">
        <v>46212</v>
      </c>
      <c r="S330" s="135">
        <v>55</v>
      </c>
      <c r="T330" s="134" t="s">
        <v>160</v>
      </c>
      <c r="U330" s="134" t="s">
        <v>189</v>
      </c>
      <c r="V330" s="137">
        <f>IF(ISBLANK(Table1368[[#This Row],[Date réception Achat]]),"",IF(ISBLANK(Table1368[[#This Row],[Date revente]]),TODAY(),Table1368[[#This Row],[Date revente]])-Table1368[[#This Row],[Date réception Achat]])</f>
        <v>3</v>
      </c>
      <c r="W33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30" s="135">
        <f>IF(Table1368[[#This Row],[Prix de revente]]="","",Table1368[[#This Row],[Prix de revente]]-Table1368[[#This Row],[Prix total Achat]])</f>
        <v>25.162710444444443</v>
      </c>
      <c r="Y330" s="138">
        <f>IF(Table1368[[#This Row],[Prix de revente]]="","",(Table1368[[#This Row],[Prix de revente]]/Table1368[[#This Row],[Prix total Achat]]))</f>
        <v>1.8433309733979932</v>
      </c>
      <c r="Z330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30" s="139">
        <f>IF(ISBLANK(Table1368[[#This Row],[Date relisting]]),"",IF(ISBLANK(Table1368[[#This Row],[Date relisting]]),TODAY(),Table1368[[#This Row],[Date relisting]])-Table1368[[#This Row],[Date réception Achat]])</f>
        <v>2</v>
      </c>
      <c r="AB330" s="139">
        <f>IF(ISBLANK(Table1368[[#This Row],[Date revente]]),"",IF(ISBLANK(Table1368[[#This Row],[Date revente]]),TODAY(),Table1368[[#This Row],[Date revente]])-Table1368[[#This Row],[Date relisting]])</f>
        <v>1</v>
      </c>
      <c r="AC330" s="139">
        <f>IF(ISBLANK(Table1368[[#This Row],[Date revente]]),"",IF(ISBLANK(Table1368[[#This Row],[Date revente]]),TODAY(),Table1368[[#This Row],[Date revente]])-Table1368[[#This Row],[Date réception Achat]])</f>
        <v>3</v>
      </c>
      <c r="AD330" s="139">
        <f>IF(ISBLANK(Table1368[[#This Row],[Date revente]]),"",IF(ISBLANK(Table1368[[#This Row],[Date revente]]),TODAY(),Table1368[[#This Row],[Date revente]])-Table1368[[#This Row],[Date achat]])</f>
        <v>10</v>
      </c>
    </row>
    <row r="331" spans="1:30" x14ac:dyDescent="0.25">
      <c r="A331" s="134">
        <v>46202</v>
      </c>
      <c r="B331" s="143" t="s">
        <v>921</v>
      </c>
      <c r="C331" s="134" t="s">
        <v>922</v>
      </c>
      <c r="D331" s="156" t="s">
        <v>894</v>
      </c>
      <c r="E331" s="156"/>
      <c r="F331" s="156"/>
      <c r="G331" s="159" t="s">
        <v>882</v>
      </c>
      <c r="H331" s="155" t="s">
        <v>213</v>
      </c>
      <c r="I331" s="134" t="s">
        <v>165</v>
      </c>
      <c r="J331" s="134" t="s">
        <v>157</v>
      </c>
      <c r="K331" s="135">
        <v>17.941</v>
      </c>
      <c r="L331" s="135">
        <f>Table1368[[#This Row],[Prix total Achat]]-Table1368[[#This Row],[Prix article]]</f>
        <v>18.83728955555556</v>
      </c>
      <c r="M331" s="135">
        <v>36.77828955555556</v>
      </c>
      <c r="N331" s="134">
        <v>46209</v>
      </c>
      <c r="O331" s="136">
        <f>(Table1368[[#This Row],[Prix total Achat]]*2)</f>
        <v>73.55657911111112</v>
      </c>
      <c r="P331" s="136">
        <f>Table1368[[#This Row],[Prix Min voulu (x2 )]]*1.2</f>
        <v>88.26789493333334</v>
      </c>
      <c r="Q331" s="134">
        <v>46212</v>
      </c>
      <c r="R331" s="134">
        <v>46235</v>
      </c>
      <c r="S331" s="135">
        <v>80</v>
      </c>
      <c r="T331" s="134" t="s">
        <v>160</v>
      </c>
      <c r="U331" s="134" t="s">
        <v>157</v>
      </c>
      <c r="V331" s="137">
        <f>IF(ISBLANK(Table1368[[#This Row],[Date réception Achat]]),"",IF(ISBLANK(Table1368[[#This Row],[Date revente]]),TODAY(),Table1368[[#This Row],[Date revente]])-Table1368[[#This Row],[Date réception Achat]])</f>
        <v>26</v>
      </c>
      <c r="W33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31" s="135">
        <f>IF(Table1368[[#This Row],[Prix de revente]]="","",Table1368[[#This Row],[Prix de revente]]-Table1368[[#This Row],[Prix total Achat]])</f>
        <v>43.22171044444444</v>
      </c>
      <c r="Y331" s="138">
        <f>IF(Table1368[[#This Row],[Prix de revente]]="","",(Table1368[[#This Row],[Prix de revente]]/Table1368[[#This Row],[Prix total Achat]]))</f>
        <v>2.175196317358798</v>
      </c>
      <c r="Z331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31" s="139">
        <f>IF(ISBLANK(Table1368[[#This Row],[Date relisting]]),"",IF(ISBLANK(Table1368[[#This Row],[Date relisting]]),TODAY(),Table1368[[#This Row],[Date relisting]])-Table1368[[#This Row],[Date réception Achat]])</f>
        <v>3</v>
      </c>
      <c r="AB331" s="139">
        <f>IF(ISBLANK(Table1368[[#This Row],[Date revente]]),"",IF(ISBLANK(Table1368[[#This Row],[Date revente]]),TODAY(),Table1368[[#This Row],[Date revente]])-Table1368[[#This Row],[Date relisting]])</f>
        <v>23</v>
      </c>
      <c r="AC331" s="139">
        <f>IF(ISBLANK(Table1368[[#This Row],[Date revente]]),"",IF(ISBLANK(Table1368[[#This Row],[Date revente]]),TODAY(),Table1368[[#This Row],[Date revente]])-Table1368[[#This Row],[Date réception Achat]])</f>
        <v>26</v>
      </c>
      <c r="AD331" s="139">
        <f>IF(ISBLANK(Table1368[[#This Row],[Date revente]]),"",IF(ISBLANK(Table1368[[#This Row],[Date revente]]),TODAY(),Table1368[[#This Row],[Date revente]])-Table1368[[#This Row],[Date achat]])</f>
        <v>33</v>
      </c>
    </row>
    <row r="332" spans="1:30" x14ac:dyDescent="0.25">
      <c r="A332" s="134">
        <v>46202</v>
      </c>
      <c r="B332" s="143" t="s">
        <v>923</v>
      </c>
      <c r="C332" s="134" t="s">
        <v>924</v>
      </c>
      <c r="D332" s="156" t="s">
        <v>894</v>
      </c>
      <c r="E332" s="156"/>
      <c r="F332" s="156"/>
      <c r="G332" s="159" t="s">
        <v>882</v>
      </c>
      <c r="H332" s="155" t="s">
        <v>213</v>
      </c>
      <c r="I332" s="134" t="s">
        <v>165</v>
      </c>
      <c r="J332" s="134" t="s">
        <v>157</v>
      </c>
      <c r="K332" s="135">
        <v>26.619999999999997</v>
      </c>
      <c r="L332" s="135">
        <f>Table1368[[#This Row],[Prix total Achat]]-Table1368[[#This Row],[Prix article]]</f>
        <v>18.837289555555557</v>
      </c>
      <c r="M332" s="135">
        <v>45.457289555555555</v>
      </c>
      <c r="N332" s="134">
        <v>46209</v>
      </c>
      <c r="O332" s="136">
        <f>(Table1368[[#This Row],[Prix total Achat]]*2)</f>
        <v>90.91457911111111</v>
      </c>
      <c r="P332" s="136">
        <f>Table1368[[#This Row],[Prix Min voulu (x2 )]]*1.2</f>
        <v>109.09749493333332</v>
      </c>
      <c r="Q332" s="134">
        <v>46213</v>
      </c>
      <c r="R332" s="134"/>
      <c r="S332" s="135"/>
      <c r="T332" s="134"/>
      <c r="U332" s="134"/>
      <c r="V332" s="137">
        <f>IF(ISBLANK(Table1368[[#This Row],[Date réception Achat]]),"",IF(ISBLANK(Table1368[[#This Row],[Date revente]]),TODAY(),Table1368[[#This Row],[Date revente]])-Table1368[[#This Row],[Date réception Achat]])</f>
        <v>94</v>
      </c>
      <c r="W33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32" s="135">
        <f>IF(Table1368[[#This Row],[Prix de revente]]="","",Table1368[[#This Row],[Prix de revente]]-Table1368[[#This Row],[Prix total Achat]])</f>
      </c>
      <c r="Y332" s="138">
        <f>IF(Table1368[[#This Row],[Prix de revente]]="","",(Table1368[[#This Row],[Prix de revente]]/Table1368[[#This Row],[Prix total Achat]]))</f>
      </c>
      <c r="Z332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32" s="139">
        <f>IF(ISBLANK(Table1368[[#This Row],[Date relisting]]),"",IF(ISBLANK(Table1368[[#This Row],[Date relisting]]),TODAY(),Table1368[[#This Row],[Date relisting]])-Table1368[[#This Row],[Date réception Achat]])</f>
        <v>4</v>
      </c>
      <c r="AB332" s="139">
        <f>IF(ISBLANK(Table1368[[#This Row],[Date revente]]),"",IF(ISBLANK(Table1368[[#This Row],[Date revente]]),TODAY(),Table1368[[#This Row],[Date revente]])-Table1368[[#This Row],[Date relisting]])</f>
      </c>
      <c r="AC332" s="139">
        <f>IF(ISBLANK(Table1368[[#This Row],[Date revente]]),"",IF(ISBLANK(Table1368[[#This Row],[Date revente]]),TODAY(),Table1368[[#This Row],[Date revente]])-Table1368[[#This Row],[Date réception Achat]])</f>
      </c>
      <c r="AD332" s="139">
        <f>IF(ISBLANK(Table1368[[#This Row],[Date revente]]),"",IF(ISBLANK(Table1368[[#This Row],[Date revente]]),TODAY(),Table1368[[#This Row],[Date revente]])-Table1368[[#This Row],[Date achat]])</f>
      </c>
    </row>
    <row r="333" spans="1:30" x14ac:dyDescent="0.25">
      <c r="A333" s="134">
        <v>46202</v>
      </c>
      <c r="B333" s="146" t="s">
        <v>925</v>
      </c>
      <c r="C333" s="134" t="s">
        <v>926</v>
      </c>
      <c r="D333" s="156" t="s">
        <v>927</v>
      </c>
      <c r="E333" s="158">
        <v>386</v>
      </c>
      <c r="F333" s="156" t="s">
        <v>928</v>
      </c>
      <c r="G333" s="134" t="s">
        <v>502</v>
      </c>
      <c r="H333" s="127" t="s">
        <v>241</v>
      </c>
      <c r="I333" s="134" t="s">
        <v>165</v>
      </c>
      <c r="J333" s="134" t="s">
        <v>157</v>
      </c>
      <c r="K333" s="135">
        <v>25.849999999999998</v>
      </c>
      <c r="L333" s="135">
        <f>Table1368[[#This Row],[Prix total Achat]]-Table1368[[#This Row],[Prix article]]</f>
        <v>14.52334457142857</v>
      </c>
      <c r="M333" s="135">
        <v>40.37334457142857</v>
      </c>
      <c r="N333" s="134">
        <v>46282</v>
      </c>
      <c r="O333" s="136">
        <f>(Table1368[[#This Row],[Prix total Achat]]*2)</f>
        <v>80.74668914285714</v>
      </c>
      <c r="P333" s="136">
        <f>Table1368[[#This Row],[Prix Min voulu (x2 )]]*1.2</f>
        <v>96.89602697142855</v>
      </c>
      <c r="Q333" s="134">
        <v>46290</v>
      </c>
      <c r="R333" s="134"/>
      <c r="S333" s="135"/>
      <c r="T333" s="134"/>
      <c r="U333" s="134" t="s">
        <v>157</v>
      </c>
      <c r="V333" s="137">
        <f>IF(ISBLANK(Table1368[[#This Row],[Date réception Achat]]),"",IF(ISBLANK(Table1368[[#This Row],[Date revente]]),TODAY(),Table1368[[#This Row],[Date revente]])-Table1368[[#This Row],[Date réception Achat]])</f>
        <v>21</v>
      </c>
      <c r="W33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33" s="135">
        <f>IF(Table1368[[#This Row],[Prix de revente]]="","",Table1368[[#This Row],[Prix de revente]]-Table1368[[#This Row],[Prix total Achat]])</f>
      </c>
      <c r="Y333" s="138">
        <f>IF(Table1368[[#This Row],[Prix de revente]]="","",(Table1368[[#This Row],[Prix de revente]]/Table1368[[#This Row],[Prix total Achat]]))</f>
      </c>
      <c r="Z333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333" s="139">
        <f>IF(ISBLANK(Table1368[[#This Row],[Date relisting]]),"",IF(ISBLANK(Table1368[[#This Row],[Date relisting]]),TODAY(),Table1368[[#This Row],[Date relisting]])-Table1368[[#This Row],[Date réception Achat]])</f>
        <v>8</v>
      </c>
      <c r="AB333" s="139">
        <f>IF(ISBLANK(Table1368[[#This Row],[Date revente]]),"",IF(ISBLANK(Table1368[[#This Row],[Date revente]]),TODAY(),Table1368[[#This Row],[Date revente]])-Table1368[[#This Row],[Date relisting]])</f>
      </c>
      <c r="AC333" s="139">
        <f>IF(ISBLANK(Table1368[[#This Row],[Date revente]]),"",IF(ISBLANK(Table1368[[#This Row],[Date revente]]),TODAY(),Table1368[[#This Row],[Date revente]])-Table1368[[#This Row],[Date réception Achat]])</f>
      </c>
      <c r="AD333" s="139">
        <f>IF(ISBLANK(Table1368[[#This Row],[Date revente]]),"",IF(ISBLANK(Table1368[[#This Row],[Date revente]]),TODAY(),Table1368[[#This Row],[Date revente]])-Table1368[[#This Row],[Date achat]])</f>
      </c>
    </row>
    <row r="334" spans="1:30" x14ac:dyDescent="0.25">
      <c r="A334" s="134">
        <v>46202</v>
      </c>
      <c r="B334" s="146" t="s">
        <v>929</v>
      </c>
      <c r="C334" s="134" t="s">
        <v>930</v>
      </c>
      <c r="D334" s="156" t="s">
        <v>927</v>
      </c>
      <c r="E334" s="158">
        <v>300</v>
      </c>
      <c r="F334" s="156" t="s">
        <v>765</v>
      </c>
      <c r="G334" s="134" t="s">
        <v>392</v>
      </c>
      <c r="H334" s="127" t="s">
        <v>178</v>
      </c>
      <c r="I334" s="134" t="s">
        <v>165</v>
      </c>
      <c r="J334" s="134" t="s">
        <v>157</v>
      </c>
      <c r="K334" s="135">
        <v>13.75</v>
      </c>
      <c r="L334" s="135">
        <f>Table1368[[#This Row],[Prix total Achat]]-Table1368[[#This Row],[Prix article]]</f>
        <v>14.52334457142857</v>
      </c>
      <c r="M334" s="135">
        <v>28.27334457142857</v>
      </c>
      <c r="N334" s="134">
        <v>46282</v>
      </c>
      <c r="O334" s="136">
        <f>(Table1368[[#This Row],[Prix total Achat]]*2)</f>
        <v>56.54668914285714</v>
      </c>
      <c r="P334" s="136">
        <f>Table1368[[#This Row],[Prix Min voulu (x2 )]]*1.2</f>
        <v>67.85602697142856</v>
      </c>
      <c r="Q334" s="134">
        <v>46290</v>
      </c>
      <c r="R334" s="134">
        <v>46299</v>
      </c>
      <c r="S334" s="135">
        <v>80</v>
      </c>
      <c r="T334" s="134" t="s">
        <v>160</v>
      </c>
      <c r="U334" s="134" t="s">
        <v>157</v>
      </c>
      <c r="V334" s="137">
        <f>IF(ISBLANK(Table1368[[#This Row],[Date réception Achat]]),"",IF(ISBLANK(Table1368[[#This Row],[Date revente]]),TODAY(),Table1368[[#This Row],[Date revente]])-Table1368[[#This Row],[Date réception Achat]])</f>
        <v>17</v>
      </c>
      <c r="W33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34" s="135">
        <f>IF(Table1368[[#This Row],[Prix de revente]]="","",Table1368[[#This Row],[Prix de revente]]-Table1368[[#This Row],[Prix total Achat]])</f>
        <v>51.72665542857143</v>
      </c>
      <c r="Y334" s="138">
        <f>IF(Table1368[[#This Row],[Prix de revente]]="","",(Table1368[[#This Row],[Prix de revente]]/Table1368[[#This Row],[Prix total Achat]]))</f>
        <v>2.829520214628001</v>
      </c>
      <c r="Z334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334" s="139">
        <f>IF(ISBLANK(Table1368[[#This Row],[Date relisting]]),"",IF(ISBLANK(Table1368[[#This Row],[Date relisting]]),TODAY(),Table1368[[#This Row],[Date relisting]])-Table1368[[#This Row],[Date réception Achat]])</f>
        <v>8</v>
      </c>
      <c r="AB334" s="139">
        <f>IF(ISBLANK(Table1368[[#This Row],[Date revente]]),"",IF(ISBLANK(Table1368[[#This Row],[Date revente]]),TODAY(),Table1368[[#This Row],[Date revente]])-Table1368[[#This Row],[Date relisting]])</f>
        <v>9</v>
      </c>
      <c r="AC334" s="139">
        <f>IF(ISBLANK(Table1368[[#This Row],[Date revente]]),"",IF(ISBLANK(Table1368[[#This Row],[Date revente]]),TODAY(),Table1368[[#This Row],[Date revente]])-Table1368[[#This Row],[Date réception Achat]])</f>
        <v>17</v>
      </c>
      <c r="AD334" s="139">
        <f>IF(ISBLANK(Table1368[[#This Row],[Date revente]]),"",IF(ISBLANK(Table1368[[#This Row],[Date revente]]),TODAY(),Table1368[[#This Row],[Date revente]])-Table1368[[#This Row],[Date achat]])</f>
        <v>97</v>
      </c>
    </row>
    <row r="335" spans="1:30" x14ac:dyDescent="0.25">
      <c r="A335" s="134">
        <v>46202</v>
      </c>
      <c r="B335" s="146" t="s">
        <v>931</v>
      </c>
      <c r="C335" s="134" t="s">
        <v>932</v>
      </c>
      <c r="D335" s="156" t="s">
        <v>927</v>
      </c>
      <c r="E335" s="158">
        <v>362</v>
      </c>
      <c r="F335" s="156" t="s">
        <v>933</v>
      </c>
      <c r="G335" s="134" t="s">
        <v>163</v>
      </c>
      <c r="H335" s="127" t="s">
        <v>174</v>
      </c>
      <c r="I335" s="134" t="s">
        <v>165</v>
      </c>
      <c r="J335" s="134" t="s">
        <v>157</v>
      </c>
      <c r="K335" s="135">
        <v>12.221</v>
      </c>
      <c r="L335" s="135">
        <f>Table1368[[#This Row],[Prix total Achat]]-Table1368[[#This Row],[Prix article]]</f>
        <v>14.52334457142857</v>
      </c>
      <c r="M335" s="135">
        <v>26.74434457142857</v>
      </c>
      <c r="N335" s="134">
        <v>46282</v>
      </c>
      <c r="O335" s="136">
        <f>(Table1368[[#This Row],[Prix total Achat]]*2)</f>
        <v>53.48868914285714</v>
      </c>
      <c r="P335" s="136">
        <f>Table1368[[#This Row],[Prix Min voulu (x2 )]]*1.2</f>
        <v>64.18642697142856</v>
      </c>
      <c r="Q335" s="134">
        <v>46289</v>
      </c>
      <c r="R335" s="134">
        <v>46303</v>
      </c>
      <c r="S335" s="135">
        <v>82.5</v>
      </c>
      <c r="T335" s="134" t="s">
        <v>160</v>
      </c>
      <c r="U335" s="134" t="s">
        <v>157</v>
      </c>
      <c r="V335" s="137">
        <f>IF(ISBLANK(Table1368[[#This Row],[Date réception Achat]]),"",IF(ISBLANK(Table1368[[#This Row],[Date revente]]),TODAY(),Table1368[[#This Row],[Date revente]])-Table1368[[#This Row],[Date réception Achat]])</f>
        <v>21</v>
      </c>
      <c r="W33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35" s="135">
        <f>IF(Table1368[[#This Row],[Prix de revente]]="","",Table1368[[#This Row],[Prix de revente]]-Table1368[[#This Row],[Prix total Achat]])</f>
        <v>55.75565542857143</v>
      </c>
      <c r="Y335" s="138">
        <f>IF(Table1368[[#This Row],[Prix de revente]]="","",(Table1368[[#This Row],[Prix de revente]]/Table1368[[#This Row],[Prix total Achat]]))</f>
        <v>3.0847643238988227</v>
      </c>
      <c r="Z335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335" s="139">
        <f>IF(ISBLANK(Table1368[[#This Row],[Date relisting]]),"",IF(ISBLANK(Table1368[[#This Row],[Date relisting]]),TODAY(),Table1368[[#This Row],[Date relisting]])-Table1368[[#This Row],[Date réception Achat]])</f>
        <v>7</v>
      </c>
      <c r="AB335" s="139">
        <f>IF(ISBLANK(Table1368[[#This Row],[Date revente]]),"",IF(ISBLANK(Table1368[[#This Row],[Date revente]]),TODAY(),Table1368[[#This Row],[Date revente]])-Table1368[[#This Row],[Date relisting]])</f>
        <v>14</v>
      </c>
      <c r="AC335" s="139">
        <f>IF(ISBLANK(Table1368[[#This Row],[Date revente]]),"",IF(ISBLANK(Table1368[[#This Row],[Date revente]]),TODAY(),Table1368[[#This Row],[Date revente]])-Table1368[[#This Row],[Date réception Achat]])</f>
        <v>21</v>
      </c>
      <c r="AD335" s="139">
        <f>IF(ISBLANK(Table1368[[#This Row],[Date revente]]),"",IF(ISBLANK(Table1368[[#This Row],[Date revente]]),TODAY(),Table1368[[#This Row],[Date revente]])-Table1368[[#This Row],[Date achat]])</f>
        <v>101</v>
      </c>
    </row>
    <row r="336" spans="1:30" x14ac:dyDescent="0.25">
      <c r="A336" s="134">
        <v>46202</v>
      </c>
      <c r="B336" s="148" t="s">
        <v>934</v>
      </c>
      <c r="C336" s="134" t="s">
        <v>935</v>
      </c>
      <c r="D336" s="156" t="s">
        <v>927</v>
      </c>
      <c r="E336" s="158">
        <v>248</v>
      </c>
      <c r="F336" s="156" t="s">
        <v>765</v>
      </c>
      <c r="G336" s="134" t="s">
        <v>936</v>
      </c>
      <c r="H336" s="127" t="s">
        <v>937</v>
      </c>
      <c r="I336" s="134" t="s">
        <v>165</v>
      </c>
      <c r="J336" s="134" t="s">
        <v>157</v>
      </c>
      <c r="K336" s="135">
        <v>20.9</v>
      </c>
      <c r="L336" s="135">
        <f>Table1368[[#This Row],[Prix total Achat]]-Table1368[[#This Row],[Prix article]]</f>
        <v>14.523344571428574</v>
      </c>
      <c r="M336" s="135">
        <v>35.42334457142857</v>
      </c>
      <c r="N336" s="134">
        <v>46282</v>
      </c>
      <c r="O336" s="136">
        <f>(Table1368[[#This Row],[Prix total Achat]]*2)</f>
        <v>70.84668914285714</v>
      </c>
      <c r="P336" s="136">
        <f>Table1368[[#This Row],[Prix Min voulu (x2 )]]*1.2</f>
        <v>85.01602697142857</v>
      </c>
      <c r="Q336" s="134">
        <v>46289</v>
      </c>
      <c r="R336" s="134"/>
      <c r="S336" s="135"/>
      <c r="T336" s="134"/>
      <c r="U336" s="134" t="s">
        <v>157</v>
      </c>
      <c r="V336" s="137">
        <f>IF(ISBLANK(Table1368[[#This Row],[Date réception Achat]]),"",IF(ISBLANK(Table1368[[#This Row],[Date revente]]),TODAY(),Table1368[[#This Row],[Date revente]])-Table1368[[#This Row],[Date réception Achat]])</f>
        <v>21</v>
      </c>
      <c r="W33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36" s="135">
        <f>IF(Table1368[[#This Row],[Prix de revente]]="","",Table1368[[#This Row],[Prix de revente]]-Table1368[[#This Row],[Prix total Achat]])</f>
      </c>
      <c r="Y336" s="138">
        <f>IF(Table1368[[#This Row],[Prix de revente]]="","",(Table1368[[#This Row],[Prix de revente]]/Table1368[[#This Row],[Prix total Achat]]))</f>
      </c>
      <c r="Z336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336" s="139">
        <f>IF(ISBLANK(Table1368[[#This Row],[Date relisting]]),"",IF(ISBLANK(Table1368[[#This Row],[Date relisting]]),TODAY(),Table1368[[#This Row],[Date relisting]])-Table1368[[#This Row],[Date réception Achat]])</f>
        <v>7</v>
      </c>
      <c r="AB336" s="139">
        <f>IF(ISBLANK(Table1368[[#This Row],[Date revente]]),"",IF(ISBLANK(Table1368[[#This Row],[Date revente]]),TODAY(),Table1368[[#This Row],[Date revente]])-Table1368[[#This Row],[Date relisting]])</f>
      </c>
      <c r="AC336" s="139">
        <f>IF(ISBLANK(Table1368[[#This Row],[Date revente]]),"",IF(ISBLANK(Table1368[[#This Row],[Date revente]]),TODAY(),Table1368[[#This Row],[Date revente]])-Table1368[[#This Row],[Date réception Achat]])</f>
      </c>
      <c r="AD336" s="139">
        <f>IF(ISBLANK(Table1368[[#This Row],[Date revente]]),"",IF(ISBLANK(Table1368[[#This Row],[Date revente]]),TODAY(),Table1368[[#This Row],[Date revente]])-Table1368[[#This Row],[Date achat]])</f>
      </c>
    </row>
    <row r="337" spans="1:30" x14ac:dyDescent="0.25">
      <c r="A337" s="134">
        <v>46202</v>
      </c>
      <c r="B337" s="148" t="s">
        <v>938</v>
      </c>
      <c r="C337" s="134" t="s">
        <v>939</v>
      </c>
      <c r="D337" s="156" t="s">
        <v>927</v>
      </c>
      <c r="E337" s="158">
        <v>360</v>
      </c>
      <c r="F337" s="156" t="s">
        <v>940</v>
      </c>
      <c r="G337" s="134" t="s">
        <v>163</v>
      </c>
      <c r="H337" s="127" t="s">
        <v>164</v>
      </c>
      <c r="I337" s="134" t="s">
        <v>165</v>
      </c>
      <c r="J337" s="134" t="s">
        <v>157</v>
      </c>
      <c r="K337" s="135">
        <v>19.25</v>
      </c>
      <c r="L337" s="135">
        <f>Table1368[[#This Row],[Prix total Achat]]-Table1368[[#This Row],[Prix article]]</f>
        <v>14.523344571428566</v>
      </c>
      <c r="M337" s="135">
        <v>33.77334457142857</v>
      </c>
      <c r="N337" s="134">
        <v>46282</v>
      </c>
      <c r="O337" s="136">
        <f>(Table1368[[#This Row],[Prix total Achat]]*2)</f>
        <v>67.54668914285713</v>
      </c>
      <c r="P337" s="136">
        <f>Table1368[[#This Row],[Prix Min voulu (x2 )]]*1.2</f>
        <v>81.05602697142855</v>
      </c>
      <c r="Q337" s="134">
        <v>46290</v>
      </c>
      <c r="R337" s="134"/>
      <c r="S337" s="135"/>
      <c r="T337" s="134"/>
      <c r="U337" s="134" t="s">
        <v>157</v>
      </c>
      <c r="V337" s="137">
        <f>IF(ISBLANK(Table1368[[#This Row],[Date réception Achat]]),"",IF(ISBLANK(Table1368[[#This Row],[Date revente]]),TODAY(),Table1368[[#This Row],[Date revente]])-Table1368[[#This Row],[Date réception Achat]])</f>
        <v>21</v>
      </c>
      <c r="W33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37" s="135">
        <f>IF(Table1368[[#This Row],[Prix de revente]]="","",Table1368[[#This Row],[Prix de revente]]-Table1368[[#This Row],[Prix total Achat]])</f>
      </c>
      <c r="Y337" s="138">
        <f>IF(Table1368[[#This Row],[Prix de revente]]="","",(Table1368[[#This Row],[Prix de revente]]/Table1368[[#This Row],[Prix total Achat]]))</f>
      </c>
      <c r="Z337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337" s="139">
        <f>IF(ISBLANK(Table1368[[#This Row],[Date relisting]]),"",IF(ISBLANK(Table1368[[#This Row],[Date relisting]]),TODAY(),Table1368[[#This Row],[Date relisting]])-Table1368[[#This Row],[Date réception Achat]])</f>
        <v>8</v>
      </c>
      <c r="AB337" s="139">
        <f>IF(ISBLANK(Table1368[[#This Row],[Date revente]]),"",IF(ISBLANK(Table1368[[#This Row],[Date revente]]),TODAY(),Table1368[[#This Row],[Date revente]])-Table1368[[#This Row],[Date relisting]])</f>
      </c>
      <c r="AC337" s="139">
        <f>IF(ISBLANK(Table1368[[#This Row],[Date revente]]),"",IF(ISBLANK(Table1368[[#This Row],[Date revente]]),TODAY(),Table1368[[#This Row],[Date revente]])-Table1368[[#This Row],[Date réception Achat]])</f>
      </c>
      <c r="AD337" s="139">
        <f>IF(ISBLANK(Table1368[[#This Row],[Date revente]]),"",IF(ISBLANK(Table1368[[#This Row],[Date revente]]),TODAY(),Table1368[[#This Row],[Date revente]])-Table1368[[#This Row],[Date achat]])</f>
      </c>
    </row>
    <row r="338" spans="1:30" x14ac:dyDescent="0.25">
      <c r="A338" s="134">
        <v>46202</v>
      </c>
      <c r="B338" s="148" t="s">
        <v>941</v>
      </c>
      <c r="C338" s="134" t="s">
        <v>942</v>
      </c>
      <c r="D338" s="156" t="s">
        <v>927</v>
      </c>
      <c r="E338" s="158">
        <v>206</v>
      </c>
      <c r="F338" s="156" t="s">
        <v>765</v>
      </c>
      <c r="G338" s="134" t="s">
        <v>392</v>
      </c>
      <c r="H338" s="127" t="s">
        <v>174</v>
      </c>
      <c r="I338" s="134" t="s">
        <v>165</v>
      </c>
      <c r="J338" s="134" t="s">
        <v>157</v>
      </c>
      <c r="K338" s="135">
        <v>15.399999999999999</v>
      </c>
      <c r="L338" s="135">
        <f>Table1368[[#This Row],[Prix total Achat]]-Table1368[[#This Row],[Prix article]]</f>
        <v>14.52334457142857</v>
      </c>
      <c r="M338" s="135">
        <v>29.92334457142857</v>
      </c>
      <c r="N338" s="134">
        <v>46282</v>
      </c>
      <c r="O338" s="136">
        <f>(Table1368[[#This Row],[Prix total Achat]]*2)</f>
        <v>59.84668914285714</v>
      </c>
      <c r="P338" s="136">
        <f>Table1368[[#This Row],[Prix Min voulu (x2 )]]*1.2</f>
        <v>71.81602697142856</v>
      </c>
      <c r="Q338" s="134">
        <v>46289</v>
      </c>
      <c r="R338" s="134"/>
      <c r="S338" s="135"/>
      <c r="T338" s="134"/>
      <c r="U338" s="134" t="s">
        <v>157</v>
      </c>
      <c r="V338" s="137">
        <f>IF(ISBLANK(Table1368[[#This Row],[Date réception Achat]]),"",IF(ISBLANK(Table1368[[#This Row],[Date revente]]),TODAY(),Table1368[[#This Row],[Date revente]])-Table1368[[#This Row],[Date réception Achat]])</f>
        <v>21</v>
      </c>
      <c r="W33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38" s="135">
        <f>IF(Table1368[[#This Row],[Prix de revente]]="","",Table1368[[#This Row],[Prix de revente]]-Table1368[[#This Row],[Prix total Achat]])</f>
      </c>
      <c r="Y338" s="138">
        <f>IF(Table1368[[#This Row],[Prix de revente]]="","",(Table1368[[#This Row],[Prix de revente]]/Table1368[[#This Row],[Prix total Achat]]))</f>
      </c>
      <c r="Z338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338" s="139">
        <f>IF(ISBLANK(Table1368[[#This Row],[Date relisting]]),"",IF(ISBLANK(Table1368[[#This Row],[Date relisting]]),TODAY(),Table1368[[#This Row],[Date relisting]])-Table1368[[#This Row],[Date réception Achat]])</f>
        <v>7</v>
      </c>
      <c r="AB338" s="139">
        <f>IF(ISBLANK(Table1368[[#This Row],[Date revente]]),"",IF(ISBLANK(Table1368[[#This Row],[Date revente]]),TODAY(),Table1368[[#This Row],[Date revente]])-Table1368[[#This Row],[Date relisting]])</f>
      </c>
      <c r="AC338" s="139">
        <f>IF(ISBLANK(Table1368[[#This Row],[Date revente]]),"",IF(ISBLANK(Table1368[[#This Row],[Date revente]]),TODAY(),Table1368[[#This Row],[Date revente]])-Table1368[[#This Row],[Date réception Achat]])</f>
      </c>
      <c r="AD338" s="139">
        <f>IF(ISBLANK(Table1368[[#This Row],[Date revente]]),"",IF(ISBLANK(Table1368[[#This Row],[Date revente]]),TODAY(),Table1368[[#This Row],[Date revente]])-Table1368[[#This Row],[Date achat]])</f>
      </c>
    </row>
    <row r="339" spans="1:30" x14ac:dyDescent="0.25">
      <c r="A339" s="134">
        <v>46202</v>
      </c>
      <c r="B339" s="148" t="s">
        <v>943</v>
      </c>
      <c r="C339" s="134" t="s">
        <v>944</v>
      </c>
      <c r="D339" s="156" t="s">
        <v>927</v>
      </c>
      <c r="E339" s="158">
        <v>688</v>
      </c>
      <c r="F339" s="156" t="s">
        <v>309</v>
      </c>
      <c r="G339" s="134" t="s">
        <v>173</v>
      </c>
      <c r="H339" s="127" t="s">
        <v>174</v>
      </c>
      <c r="I339" s="134" t="s">
        <v>165</v>
      </c>
      <c r="J339" s="134" t="s">
        <v>157</v>
      </c>
      <c r="K339" s="135">
        <v>38.5</v>
      </c>
      <c r="L339" s="135">
        <f>Table1368[[#This Row],[Prix total Achat]]-Table1368[[#This Row],[Prix article]]</f>
        <v>14.523344571428566</v>
      </c>
      <c r="M339" s="135">
        <v>53.02334457142857</v>
      </c>
      <c r="N339" s="134">
        <v>46282</v>
      </c>
      <c r="O339" s="136">
        <f>(Table1368[[#This Row],[Prix total Achat]]*2)</f>
        <v>106.04668914285713</v>
      </c>
      <c r="P339" s="136">
        <f>Table1368[[#This Row],[Prix Min voulu (x2 )]]*1.2</f>
        <v>127.25602697142855</v>
      </c>
      <c r="Q339" s="134">
        <v>46289</v>
      </c>
      <c r="R339" s="134">
        <v>46289</v>
      </c>
      <c r="S339" s="135">
        <v>125</v>
      </c>
      <c r="T339" s="134" t="s">
        <v>160</v>
      </c>
      <c r="U339" s="134" t="s">
        <v>157</v>
      </c>
      <c r="V339" s="137">
        <f>IF(ISBLANK(Table1368[[#This Row],[Date réception Achat]]),"",IF(ISBLANK(Table1368[[#This Row],[Date revente]]),TODAY(),Table1368[[#This Row],[Date revente]])-Table1368[[#This Row],[Date réception Achat]])</f>
        <v>7</v>
      </c>
      <c r="W33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39" s="135">
        <f>IF(Table1368[[#This Row],[Prix de revente]]="","",Table1368[[#This Row],[Prix de revente]]-Table1368[[#This Row],[Prix total Achat]])</f>
        <v>71.97665542857143</v>
      </c>
      <c r="Y339" s="138">
        <f>IF(Table1368[[#This Row],[Prix de revente]]="","",(Table1368[[#This Row],[Prix de revente]]/Table1368[[#This Row],[Prix total Achat]]))</f>
        <v>2.357452194129523</v>
      </c>
      <c r="Z339" s="139">
        <f>IF(ISBLANK(Table1368[[#This Row],[Date réception Achat]]),"",IF(ISBLANK(Table1368[[#This Row],[Date réception Achat]]),TODAY(),Table1368[[#This Row],[Date réception Achat]])-Table1368[[#This Row],[Date achat]])</f>
        <v>80</v>
      </c>
      <c r="AA339" s="139">
        <f>IF(ISBLANK(Table1368[[#This Row],[Date relisting]]),"",IF(ISBLANK(Table1368[[#This Row],[Date relisting]]),TODAY(),Table1368[[#This Row],[Date relisting]])-Table1368[[#This Row],[Date réception Achat]])</f>
        <v>7</v>
      </c>
      <c r="AB339" s="139">
        <f>IF(ISBLANK(Table1368[[#This Row],[Date revente]]),"",IF(ISBLANK(Table1368[[#This Row],[Date revente]]),TODAY(),Table1368[[#This Row],[Date revente]])-Table1368[[#This Row],[Date relisting]])</f>
        <v>0</v>
      </c>
      <c r="AC339" s="139">
        <f>IF(ISBLANK(Table1368[[#This Row],[Date revente]]),"",IF(ISBLANK(Table1368[[#This Row],[Date revente]]),TODAY(),Table1368[[#This Row],[Date revente]])-Table1368[[#This Row],[Date réception Achat]])</f>
        <v>7</v>
      </c>
      <c r="AD339" s="139">
        <f>IF(ISBLANK(Table1368[[#This Row],[Date revente]]),"",IF(ISBLANK(Table1368[[#This Row],[Date revente]]),TODAY(),Table1368[[#This Row],[Date revente]])-Table1368[[#This Row],[Date achat]])</f>
        <v>87</v>
      </c>
    </row>
    <row r="340" spans="1:30" x14ac:dyDescent="0.25">
      <c r="A340" s="134">
        <v>46204</v>
      </c>
      <c r="B340" s="141" t="s">
        <v>629</v>
      </c>
      <c r="C340" s="134" t="s">
        <v>945</v>
      </c>
      <c r="D340" s="156" t="s">
        <v>157</v>
      </c>
      <c r="E340" s="156"/>
      <c r="F340" s="156" t="s">
        <v>309</v>
      </c>
      <c r="G340" s="134" t="s">
        <v>228</v>
      </c>
      <c r="H340" s="127" t="s">
        <v>330</v>
      </c>
      <c r="I340" s="134" t="s">
        <v>160</v>
      </c>
      <c r="J340" s="134" t="s">
        <v>157</v>
      </c>
      <c r="K340" s="135">
        <v>10</v>
      </c>
      <c r="L340" s="135">
        <f>Table1368[[#This Row],[Prix total Achat]]-Table1368[[#This Row],[Prix article]]</f>
        <v>4.65</v>
      </c>
      <c r="M340" s="135">
        <v>14.65</v>
      </c>
      <c r="N340" s="134">
        <v>46218</v>
      </c>
      <c r="O340" s="136">
        <f>(Table1368[[#This Row],[Prix total Achat]]*2)</f>
        <v>29.3</v>
      </c>
      <c r="P340" s="136">
        <f>Table1368[[#This Row],[Prix Min voulu (x2 )]]*1.2</f>
        <v>35.16</v>
      </c>
      <c r="Q340" s="134">
        <v>46219</v>
      </c>
      <c r="R340" s="134"/>
      <c r="S340" s="135"/>
      <c r="T340" s="134"/>
      <c r="U340" s="134"/>
      <c r="V340" s="137">
        <f>IF(ISBLANK(Table1368[[#This Row],[Date réception Achat]]),"",IF(ISBLANK(Table1368[[#This Row],[Date revente]]),TODAY(),Table1368[[#This Row],[Date revente]])-Table1368[[#This Row],[Date réception Achat]])</f>
        <v>85</v>
      </c>
      <c r="W34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40" s="135">
        <f>IF(Table1368[[#This Row],[Prix de revente]]="","",Table1368[[#This Row],[Prix de revente]]-Table1368[[#This Row],[Prix total Achat]])</f>
      </c>
      <c r="Y340" s="138">
        <f>IF(Table1368[[#This Row],[Prix de revente]]="","",(Table1368[[#This Row],[Prix de revente]]/Table1368[[#This Row],[Prix total Achat]]))</f>
      </c>
      <c r="Z340" s="139">
        <f>IF(ISBLANK(Table1368[[#This Row],[Date réception Achat]]),"",IF(ISBLANK(Table1368[[#This Row],[Date réception Achat]]),TODAY(),Table1368[[#This Row],[Date réception Achat]])-Table1368[[#This Row],[Date achat]])</f>
        <v>14</v>
      </c>
      <c r="AA340" s="139">
        <f>IF(ISBLANK(Table1368[[#This Row],[Date relisting]]),"",IF(ISBLANK(Table1368[[#This Row],[Date relisting]]),TODAY(),Table1368[[#This Row],[Date relisting]])-Table1368[[#This Row],[Date réception Achat]])</f>
        <v>1</v>
      </c>
      <c r="AB340" s="139">
        <f>IF(ISBLANK(Table1368[[#This Row],[Date revente]]),"",IF(ISBLANK(Table1368[[#This Row],[Date revente]]),TODAY(),Table1368[[#This Row],[Date revente]])-Table1368[[#This Row],[Date relisting]])</f>
      </c>
      <c r="AC340" s="139">
        <f>IF(ISBLANK(Table1368[[#This Row],[Date revente]]),"",IF(ISBLANK(Table1368[[#This Row],[Date revente]]),TODAY(),Table1368[[#This Row],[Date revente]])-Table1368[[#This Row],[Date réception Achat]])</f>
      </c>
      <c r="AD340" s="139">
        <f>IF(ISBLANK(Table1368[[#This Row],[Date revente]]),"",IF(ISBLANK(Table1368[[#This Row],[Date revente]]),TODAY(),Table1368[[#This Row],[Date revente]])-Table1368[[#This Row],[Date achat]])</f>
      </c>
    </row>
    <row r="341" spans="1:30" x14ac:dyDescent="0.25">
      <c r="A341" s="134">
        <v>46210</v>
      </c>
      <c r="B341" s="141" t="s">
        <v>946</v>
      </c>
      <c r="C341" s="134" t="s">
        <v>947</v>
      </c>
      <c r="D341" s="156" t="s">
        <v>157</v>
      </c>
      <c r="E341" s="156"/>
      <c r="F341" s="156"/>
      <c r="G341" s="134" t="s">
        <v>948</v>
      </c>
      <c r="H341" s="127" t="s">
        <v>489</v>
      </c>
      <c r="I341" s="134" t="s">
        <v>160</v>
      </c>
      <c r="J341" s="134" t="s">
        <v>157</v>
      </c>
      <c r="K341" s="135">
        <v>10</v>
      </c>
      <c r="L341" s="135">
        <f>Table1368[[#This Row],[Prix total Achat]]-Table1368[[#This Row],[Prix article]]</f>
        <v>5.1899999999999995</v>
      </c>
      <c r="M341" s="135">
        <v>15.19</v>
      </c>
      <c r="N341" s="134">
        <v>46219</v>
      </c>
      <c r="O341" s="136">
        <f>(Table1368[[#This Row],[Prix total Achat]]*2)</f>
        <v>30.38</v>
      </c>
      <c r="P341" s="136">
        <f>Table1368[[#This Row],[Prix Min voulu (x2 )]]*1.2</f>
        <v>36.455999999999996</v>
      </c>
      <c r="Q341" s="134">
        <v>46219</v>
      </c>
      <c r="R341" s="134">
        <v>46240</v>
      </c>
      <c r="S341" s="135">
        <v>75</v>
      </c>
      <c r="T341" s="134" t="s">
        <v>160</v>
      </c>
      <c r="U341" s="134" t="s">
        <v>157</v>
      </c>
      <c r="V341" s="137">
        <f>IF(ISBLANK(Table1368[[#This Row],[Date réception Achat]]),"",IF(ISBLANK(Table1368[[#This Row],[Date revente]]),TODAY(),Table1368[[#This Row],[Date revente]])-Table1368[[#This Row],[Date réception Achat]])</f>
        <v>21</v>
      </c>
      <c r="W34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41" s="135">
        <f>IF(Table1368[[#This Row],[Prix de revente]]="","",Table1368[[#This Row],[Prix de revente]]-Table1368[[#This Row],[Prix total Achat]])</f>
        <v>59.81</v>
      </c>
      <c r="Y341" s="138">
        <f>IF(Table1368[[#This Row],[Prix de revente]]="","",(Table1368[[#This Row],[Prix de revente]]/Table1368[[#This Row],[Prix total Achat]]))</f>
        <v>4.937458854509546</v>
      </c>
      <c r="Z341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341" s="139">
        <f>IF(ISBLANK(Table1368[[#This Row],[Date relisting]]),"",IF(ISBLANK(Table1368[[#This Row],[Date relisting]]),TODAY(),Table1368[[#This Row],[Date relisting]])-Table1368[[#This Row],[Date réception Achat]])</f>
        <v>0</v>
      </c>
      <c r="AB341" s="139">
        <f>IF(ISBLANK(Table1368[[#This Row],[Date revente]]),"",IF(ISBLANK(Table1368[[#This Row],[Date revente]]),TODAY(),Table1368[[#This Row],[Date revente]])-Table1368[[#This Row],[Date relisting]])</f>
        <v>21</v>
      </c>
      <c r="AC341" s="139">
        <f>IF(ISBLANK(Table1368[[#This Row],[Date revente]]),"",IF(ISBLANK(Table1368[[#This Row],[Date revente]]),TODAY(),Table1368[[#This Row],[Date revente]])-Table1368[[#This Row],[Date réception Achat]])</f>
        <v>21</v>
      </c>
      <c r="AD341" s="139">
        <f>IF(ISBLANK(Table1368[[#This Row],[Date revente]]),"",IF(ISBLANK(Table1368[[#This Row],[Date revente]]),TODAY(),Table1368[[#This Row],[Date revente]])-Table1368[[#This Row],[Date achat]])</f>
        <v>30</v>
      </c>
    </row>
    <row r="342" spans="1:30" x14ac:dyDescent="0.25">
      <c r="A342" s="134">
        <v>46210</v>
      </c>
      <c r="B342" s="141" t="s">
        <v>949</v>
      </c>
      <c r="C342" s="134" t="s">
        <v>950</v>
      </c>
      <c r="D342" s="156" t="s">
        <v>157</v>
      </c>
      <c r="E342" s="156"/>
      <c r="F342" s="156"/>
      <c r="G342" s="134" t="s">
        <v>202</v>
      </c>
      <c r="H342" s="127" t="s">
        <v>174</v>
      </c>
      <c r="I342" s="134" t="s">
        <v>160</v>
      </c>
      <c r="J342" s="134" t="s">
        <v>157</v>
      </c>
      <c r="K342" s="135">
        <v>12</v>
      </c>
      <c r="L342" s="135">
        <f>Table1368[[#This Row],[Prix total Achat]]-Table1368[[#This Row],[Prix article]]</f>
        <v>4.390000000000001</v>
      </c>
      <c r="M342" s="135">
        <v>16.39</v>
      </c>
      <c r="N342" s="134">
        <v>46218</v>
      </c>
      <c r="O342" s="136">
        <f>(Table1368[[#This Row],[Prix total Achat]]*2)</f>
        <v>32.78</v>
      </c>
      <c r="P342" s="136">
        <f>Table1368[[#This Row],[Prix Min voulu (x2 )]]*1.2</f>
        <v>39.336</v>
      </c>
      <c r="Q342" s="134">
        <v>46219</v>
      </c>
      <c r="R342" s="134">
        <v>46292</v>
      </c>
      <c r="S342" s="135">
        <v>45</v>
      </c>
      <c r="T342" s="134" t="s">
        <v>160</v>
      </c>
      <c r="U342" s="134" t="s">
        <v>157</v>
      </c>
      <c r="V342" s="137">
        <f>IF(ISBLANK(Table1368[[#This Row],[Date réception Achat]]),"",IF(ISBLANK(Table1368[[#This Row],[Date revente]]),TODAY(),Table1368[[#This Row],[Date revente]])-Table1368[[#This Row],[Date réception Achat]])</f>
        <v>74</v>
      </c>
      <c r="W34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42" s="135">
        <f>IF(Table1368[[#This Row],[Prix de revente]]="","",Table1368[[#This Row],[Prix de revente]]-Table1368[[#This Row],[Prix total Achat]])</f>
        <v>28.61</v>
      </c>
      <c r="Y342" s="138">
        <f>IF(Table1368[[#This Row],[Prix de revente]]="","",(Table1368[[#This Row],[Prix de revente]]/Table1368[[#This Row],[Prix total Achat]]))</f>
        <v>2.7455765710799267</v>
      </c>
      <c r="Z342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342" s="139">
        <f>IF(ISBLANK(Table1368[[#This Row],[Date relisting]]),"",IF(ISBLANK(Table1368[[#This Row],[Date relisting]]),TODAY(),Table1368[[#This Row],[Date relisting]])-Table1368[[#This Row],[Date réception Achat]])</f>
        <v>1</v>
      </c>
      <c r="AB342" s="139">
        <f>IF(ISBLANK(Table1368[[#This Row],[Date revente]]),"",IF(ISBLANK(Table1368[[#This Row],[Date revente]]),TODAY(),Table1368[[#This Row],[Date revente]])-Table1368[[#This Row],[Date relisting]])</f>
        <v>73</v>
      </c>
      <c r="AC342" s="139">
        <f>IF(ISBLANK(Table1368[[#This Row],[Date revente]]),"",IF(ISBLANK(Table1368[[#This Row],[Date revente]]),TODAY(),Table1368[[#This Row],[Date revente]])-Table1368[[#This Row],[Date réception Achat]])</f>
        <v>74</v>
      </c>
      <c r="AD342" s="139">
        <f>IF(ISBLANK(Table1368[[#This Row],[Date revente]]),"",IF(ISBLANK(Table1368[[#This Row],[Date revente]]),TODAY(),Table1368[[#This Row],[Date revente]])-Table1368[[#This Row],[Date achat]])</f>
        <v>82</v>
      </c>
    </row>
    <row r="343" spans="1:30" x14ac:dyDescent="0.25">
      <c r="A343" s="134">
        <v>46213</v>
      </c>
      <c r="B343" s="141" t="s">
        <v>951</v>
      </c>
      <c r="C343" s="134" t="s">
        <v>952</v>
      </c>
      <c r="D343" s="156" t="s">
        <v>953</v>
      </c>
      <c r="E343" s="156">
        <v>318</v>
      </c>
      <c r="F343" s="156" t="s">
        <v>765</v>
      </c>
      <c r="G343" s="159" t="s">
        <v>163</v>
      </c>
      <c r="H343" s="155" t="s">
        <v>194</v>
      </c>
      <c r="I343" s="134" t="s">
        <v>165</v>
      </c>
      <c r="J343" s="134" t="s">
        <v>157</v>
      </c>
      <c r="K343" s="135">
        <v>11</v>
      </c>
      <c r="L343" s="135">
        <f>Table1368[[#This Row],[Prix total Achat]]-Table1368[[#This Row],[Prix article]]</f>
        <v>14.516978250000001</v>
      </c>
      <c r="M343" s="135">
        <v>25.51697825</v>
      </c>
      <c r="N343" s="134">
        <v>46298</v>
      </c>
      <c r="O343" s="136">
        <f>(Table1368[[#This Row],[Prix total Achat]]*2)</f>
        <v>51.0339565</v>
      </c>
      <c r="P343" s="136">
        <f>Table1368[[#This Row],[Prix Min voulu (x2 )]]*1.2</f>
        <v>61.2407478</v>
      </c>
      <c r="Q343" s="134">
        <v>46302</v>
      </c>
      <c r="R343" s="134"/>
      <c r="S343" s="135"/>
      <c r="T343" s="134"/>
      <c r="U343" s="134"/>
      <c r="V343" s="137">
        <f>IF(ISBLANK(Table1368[[#This Row],[Date réception Achat]]),"",IF(ISBLANK(Table1368[[#This Row],[Date revente]]),TODAY(),Table1368[[#This Row],[Date revente]])-Table1368[[#This Row],[Date réception Achat]])</f>
        <v>5</v>
      </c>
      <c r="W34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43" s="135">
        <f>IF(Table1368[[#This Row],[Prix de revente]]="","",Table1368[[#This Row],[Prix de revente]]-Table1368[[#This Row],[Prix total Achat]])</f>
      </c>
      <c r="Y343" s="138">
        <f>IF(Table1368[[#This Row],[Prix de revente]]="","",(Table1368[[#This Row],[Prix de revente]]/Table1368[[#This Row],[Prix total Achat]]))</f>
      </c>
      <c r="Z343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343" s="139">
        <f>IF(ISBLANK(Table1368[[#This Row],[Date relisting]]),"",IF(ISBLANK(Table1368[[#This Row],[Date relisting]]),TODAY(),Table1368[[#This Row],[Date relisting]])-Table1368[[#This Row],[Date réception Achat]])</f>
        <v>4</v>
      </c>
      <c r="AB343" s="139">
        <f>IF(ISBLANK(Table1368[[#This Row],[Date revente]]),"",IF(ISBLANK(Table1368[[#This Row],[Date revente]]),TODAY(),Table1368[[#This Row],[Date revente]])-Table1368[[#This Row],[Date relisting]])</f>
      </c>
      <c r="AC343" s="139">
        <f>IF(ISBLANK(Table1368[[#This Row],[Date revente]]),"",IF(ISBLANK(Table1368[[#This Row],[Date revente]]),TODAY(),Table1368[[#This Row],[Date revente]])-Table1368[[#This Row],[Date réception Achat]])</f>
      </c>
      <c r="AD343" s="139">
        <f>IF(ISBLANK(Table1368[[#This Row],[Date revente]]),"",IF(ISBLANK(Table1368[[#This Row],[Date revente]]),TODAY(),Table1368[[#This Row],[Date revente]])-Table1368[[#This Row],[Date achat]])</f>
      </c>
    </row>
    <row r="344" spans="1:30" x14ac:dyDescent="0.25">
      <c r="A344" s="134">
        <v>46213</v>
      </c>
      <c r="B344" s="141" t="s">
        <v>954</v>
      </c>
      <c r="C344" s="134" t="s">
        <v>955</v>
      </c>
      <c r="D344" s="156" t="s">
        <v>953</v>
      </c>
      <c r="E344" s="156">
        <v>204</v>
      </c>
      <c r="F344" s="156" t="s">
        <v>765</v>
      </c>
      <c r="G344" s="159" t="s">
        <v>163</v>
      </c>
      <c r="H344" s="155" t="s">
        <v>174</v>
      </c>
      <c r="I344" s="134" t="s">
        <v>165</v>
      </c>
      <c r="J344" s="134" t="s">
        <v>157</v>
      </c>
      <c r="K344" s="135">
        <v>8.69</v>
      </c>
      <c r="L344" s="135">
        <f>Table1368[[#This Row],[Prix total Achat]]-Table1368[[#This Row],[Prix article]]</f>
        <v>14.51697825</v>
      </c>
      <c r="M344" s="135">
        <v>23.20697825</v>
      </c>
      <c r="N344" s="134">
        <v>46298</v>
      </c>
      <c r="O344" s="136">
        <f>(Table1368[[#This Row],[Prix total Achat]]*2)</f>
        <v>46.4139565</v>
      </c>
      <c r="P344" s="136">
        <f>Table1368[[#This Row],[Prix Min voulu (x2 )]]*1.2</f>
        <v>55.6967478</v>
      </c>
      <c r="Q344" s="134">
        <v>46302</v>
      </c>
      <c r="R344" s="134"/>
      <c r="S344" s="135"/>
      <c r="T344" s="134"/>
      <c r="U344" s="134"/>
      <c r="V344" s="137">
        <f>IF(ISBLANK(Table1368[[#This Row],[Date réception Achat]]),"",IF(ISBLANK(Table1368[[#This Row],[Date revente]]),TODAY(),Table1368[[#This Row],[Date revente]])-Table1368[[#This Row],[Date réception Achat]])</f>
        <v>5</v>
      </c>
      <c r="W34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44" s="135">
        <f>IF(Table1368[[#This Row],[Prix de revente]]="","",Table1368[[#This Row],[Prix de revente]]-Table1368[[#This Row],[Prix total Achat]])</f>
      </c>
      <c r="Y344" s="138">
        <f>IF(Table1368[[#This Row],[Prix de revente]]="","",(Table1368[[#This Row],[Prix de revente]]/Table1368[[#This Row],[Prix total Achat]]))</f>
      </c>
      <c r="Z344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344" s="139">
        <f>IF(ISBLANK(Table1368[[#This Row],[Date relisting]]),"",IF(ISBLANK(Table1368[[#This Row],[Date relisting]]),TODAY(),Table1368[[#This Row],[Date relisting]])-Table1368[[#This Row],[Date réception Achat]])</f>
        <v>4</v>
      </c>
      <c r="AB344" s="139">
        <f>IF(ISBLANK(Table1368[[#This Row],[Date revente]]),"",IF(ISBLANK(Table1368[[#This Row],[Date revente]]),TODAY(),Table1368[[#This Row],[Date revente]])-Table1368[[#This Row],[Date relisting]])</f>
      </c>
      <c r="AC344" s="139">
        <f>IF(ISBLANK(Table1368[[#This Row],[Date revente]]),"",IF(ISBLANK(Table1368[[#This Row],[Date revente]]),TODAY(),Table1368[[#This Row],[Date revente]])-Table1368[[#This Row],[Date réception Achat]])</f>
      </c>
      <c r="AD344" s="139">
        <f>IF(ISBLANK(Table1368[[#This Row],[Date revente]]),"",IF(ISBLANK(Table1368[[#This Row],[Date revente]]),TODAY(),Table1368[[#This Row],[Date revente]])-Table1368[[#This Row],[Date achat]])</f>
      </c>
    </row>
    <row r="345" spans="1:30" x14ac:dyDescent="0.25">
      <c r="A345" s="134">
        <v>46213</v>
      </c>
      <c r="B345" s="141" t="s">
        <v>956</v>
      </c>
      <c r="C345" s="134" t="s">
        <v>957</v>
      </c>
      <c r="D345" s="156" t="s">
        <v>953</v>
      </c>
      <c r="E345" s="156">
        <v>404</v>
      </c>
      <c r="F345" s="156" t="s">
        <v>765</v>
      </c>
      <c r="G345" s="159" t="s">
        <v>392</v>
      </c>
      <c r="H345" s="155" t="s">
        <v>194</v>
      </c>
      <c r="I345" s="134" t="s">
        <v>165</v>
      </c>
      <c r="J345" s="134" t="s">
        <v>157</v>
      </c>
      <c r="K345" s="135">
        <v>17.599999999999998</v>
      </c>
      <c r="L345" s="135">
        <f>Table1368[[#This Row],[Prix total Achat]]-Table1368[[#This Row],[Prix article]]</f>
        <v>14.516978250000005</v>
      </c>
      <c r="M345" s="135">
        <v>32.11697825</v>
      </c>
      <c r="N345" s="134">
        <v>46298</v>
      </c>
      <c r="O345" s="136">
        <f>(Table1368[[#This Row],[Prix total Achat]]*2)</f>
        <v>64.2339565</v>
      </c>
      <c r="P345" s="136">
        <f>Table1368[[#This Row],[Prix Min voulu (x2 )]]*1.2</f>
        <v>77.0807478</v>
      </c>
      <c r="Q345" s="134">
        <v>46301</v>
      </c>
      <c r="R345" s="134"/>
      <c r="S345" s="135"/>
      <c r="T345" s="134"/>
      <c r="U345" s="134"/>
      <c r="V345" s="137">
        <f>IF(ISBLANK(Table1368[[#This Row],[Date réception Achat]]),"",IF(ISBLANK(Table1368[[#This Row],[Date revente]]),TODAY(),Table1368[[#This Row],[Date revente]])-Table1368[[#This Row],[Date réception Achat]])</f>
        <v>5</v>
      </c>
      <c r="W34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45" s="135">
        <f>IF(Table1368[[#This Row],[Prix de revente]]="","",Table1368[[#This Row],[Prix de revente]]-Table1368[[#This Row],[Prix total Achat]])</f>
      </c>
      <c r="Y345" s="138">
        <f>IF(Table1368[[#This Row],[Prix de revente]]="","",(Table1368[[#This Row],[Prix de revente]]/Table1368[[#This Row],[Prix total Achat]]))</f>
      </c>
      <c r="Z345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345" s="139">
        <f>IF(ISBLANK(Table1368[[#This Row],[Date relisting]]),"",IF(ISBLANK(Table1368[[#This Row],[Date relisting]]),TODAY(),Table1368[[#This Row],[Date relisting]])-Table1368[[#This Row],[Date réception Achat]])</f>
        <v>3</v>
      </c>
      <c r="AB345" s="139">
        <f>IF(ISBLANK(Table1368[[#This Row],[Date revente]]),"",IF(ISBLANK(Table1368[[#This Row],[Date revente]]),TODAY(),Table1368[[#This Row],[Date revente]])-Table1368[[#This Row],[Date relisting]])</f>
      </c>
      <c r="AC345" s="139">
        <f>IF(ISBLANK(Table1368[[#This Row],[Date revente]]),"",IF(ISBLANK(Table1368[[#This Row],[Date revente]]),TODAY(),Table1368[[#This Row],[Date revente]])-Table1368[[#This Row],[Date réception Achat]])</f>
      </c>
      <c r="AD345" s="139">
        <f>IF(ISBLANK(Table1368[[#This Row],[Date revente]]),"",IF(ISBLANK(Table1368[[#This Row],[Date revente]]),TODAY(),Table1368[[#This Row],[Date revente]])-Table1368[[#This Row],[Date achat]])</f>
      </c>
    </row>
    <row r="346" spans="1:30" x14ac:dyDescent="0.25">
      <c r="A346" s="134">
        <v>46213</v>
      </c>
      <c r="B346" s="143" t="s">
        <v>958</v>
      </c>
      <c r="C346" s="134" t="s">
        <v>959</v>
      </c>
      <c r="D346" s="156" t="s">
        <v>953</v>
      </c>
      <c r="E346" s="156">
        <v>262</v>
      </c>
      <c r="F346" s="156" t="s">
        <v>765</v>
      </c>
      <c r="G346" s="159" t="s">
        <v>392</v>
      </c>
      <c r="H346" s="155" t="s">
        <v>178</v>
      </c>
      <c r="I346" s="134" t="s">
        <v>165</v>
      </c>
      <c r="J346" s="134" t="s">
        <v>157</v>
      </c>
      <c r="K346" s="135">
        <v>10.34</v>
      </c>
      <c r="L346" s="135">
        <f>Table1368[[#This Row],[Prix total Achat]]-Table1368[[#This Row],[Prix article]]</f>
        <v>14.516978250000001</v>
      </c>
      <c r="M346" s="135">
        <v>24.85697825</v>
      </c>
      <c r="N346" s="134">
        <v>46298</v>
      </c>
      <c r="O346" s="136">
        <f>(Table1368[[#This Row],[Prix total Achat]]*2)</f>
        <v>49.7139565</v>
      </c>
      <c r="P346" s="136">
        <f>Table1368[[#This Row],[Prix Min voulu (x2 )]]*1.2</f>
        <v>59.6567478</v>
      </c>
      <c r="Q346" s="134">
        <v>46301</v>
      </c>
      <c r="R346" s="134"/>
      <c r="S346" s="135"/>
      <c r="T346" s="134"/>
      <c r="U346" s="134"/>
      <c r="V346" s="137">
        <f>IF(ISBLANK(Table1368[[#This Row],[Date réception Achat]]),"",IF(ISBLANK(Table1368[[#This Row],[Date revente]]),TODAY(),Table1368[[#This Row],[Date revente]])-Table1368[[#This Row],[Date réception Achat]])</f>
        <v>5</v>
      </c>
      <c r="W34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46" s="135">
        <f>IF(Table1368[[#This Row],[Prix de revente]]="","",Table1368[[#This Row],[Prix de revente]]-Table1368[[#This Row],[Prix total Achat]])</f>
      </c>
      <c r="Y346" s="138">
        <f>IF(Table1368[[#This Row],[Prix de revente]]="","",(Table1368[[#This Row],[Prix de revente]]/Table1368[[#This Row],[Prix total Achat]]))</f>
      </c>
      <c r="Z346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346" s="139">
        <f>IF(ISBLANK(Table1368[[#This Row],[Date relisting]]),"",IF(ISBLANK(Table1368[[#This Row],[Date relisting]]),TODAY(),Table1368[[#This Row],[Date relisting]])-Table1368[[#This Row],[Date réception Achat]])</f>
        <v>3</v>
      </c>
      <c r="AB346" s="139">
        <f>IF(ISBLANK(Table1368[[#This Row],[Date revente]]),"",IF(ISBLANK(Table1368[[#This Row],[Date revente]]),TODAY(),Table1368[[#This Row],[Date revente]])-Table1368[[#This Row],[Date relisting]])</f>
      </c>
      <c r="AC346" s="139">
        <f>IF(ISBLANK(Table1368[[#This Row],[Date revente]]),"",IF(ISBLANK(Table1368[[#This Row],[Date revente]]),TODAY(),Table1368[[#This Row],[Date revente]])-Table1368[[#This Row],[Date réception Achat]])</f>
      </c>
      <c r="AD346" s="139">
        <f>IF(ISBLANK(Table1368[[#This Row],[Date revente]]),"",IF(ISBLANK(Table1368[[#This Row],[Date revente]]),TODAY(),Table1368[[#This Row],[Date revente]])-Table1368[[#This Row],[Date achat]])</f>
      </c>
    </row>
    <row r="347" spans="1:30" x14ac:dyDescent="0.25">
      <c r="A347" s="134">
        <v>46213</v>
      </c>
      <c r="B347" s="143" t="s">
        <v>960</v>
      </c>
      <c r="C347" s="134" t="s">
        <v>961</v>
      </c>
      <c r="D347" s="156" t="s">
        <v>953</v>
      </c>
      <c r="E347" s="156">
        <v>304</v>
      </c>
      <c r="F347" s="156" t="s">
        <v>765</v>
      </c>
      <c r="G347" s="159" t="s">
        <v>173</v>
      </c>
      <c r="H347" s="155" t="s">
        <v>414</v>
      </c>
      <c r="I347" s="134" t="s">
        <v>165</v>
      </c>
      <c r="J347" s="134" t="s">
        <v>157</v>
      </c>
      <c r="K347" s="135">
        <v>30.25</v>
      </c>
      <c r="L347" s="135">
        <f>Table1368[[#This Row],[Prix total Achat]]-Table1368[[#This Row],[Prix article]]</f>
        <v>14.516978250000001</v>
      </c>
      <c r="M347" s="135">
        <v>44.76697825</v>
      </c>
      <c r="N347" s="134">
        <v>46298</v>
      </c>
      <c r="O347" s="136">
        <f>(Table1368[[#This Row],[Prix total Achat]]*2)</f>
        <v>89.5339565</v>
      </c>
      <c r="P347" s="136">
        <f>Table1368[[#This Row],[Prix Min voulu (x2 )]]*1.2</f>
        <v>107.4407478</v>
      </c>
      <c r="Q347" s="134">
        <v>46301</v>
      </c>
      <c r="R347" s="134"/>
      <c r="S347" s="135"/>
      <c r="T347" s="134"/>
      <c r="U347" s="134"/>
      <c r="V347" s="137">
        <f>IF(ISBLANK(Table1368[[#This Row],[Date réception Achat]]),"",IF(ISBLANK(Table1368[[#This Row],[Date revente]]),TODAY(),Table1368[[#This Row],[Date revente]])-Table1368[[#This Row],[Date réception Achat]])</f>
        <v>5</v>
      </c>
      <c r="W34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47" s="135">
        <f>IF(Table1368[[#This Row],[Prix de revente]]="","",Table1368[[#This Row],[Prix de revente]]-Table1368[[#This Row],[Prix total Achat]])</f>
      </c>
      <c r="Y347" s="138">
        <f>IF(Table1368[[#This Row],[Prix de revente]]="","",(Table1368[[#This Row],[Prix de revente]]/Table1368[[#This Row],[Prix total Achat]]))</f>
      </c>
      <c r="Z347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347" s="139">
        <f>IF(ISBLANK(Table1368[[#This Row],[Date relisting]]),"",IF(ISBLANK(Table1368[[#This Row],[Date relisting]]),TODAY(),Table1368[[#This Row],[Date relisting]])-Table1368[[#This Row],[Date réception Achat]])</f>
        <v>3</v>
      </c>
      <c r="AB347" s="139">
        <f>IF(ISBLANK(Table1368[[#This Row],[Date revente]]),"",IF(ISBLANK(Table1368[[#This Row],[Date revente]]),TODAY(),Table1368[[#This Row],[Date revente]])-Table1368[[#This Row],[Date relisting]])</f>
      </c>
      <c r="AC347" s="139">
        <f>IF(ISBLANK(Table1368[[#This Row],[Date revente]]),"",IF(ISBLANK(Table1368[[#This Row],[Date revente]]),TODAY(),Table1368[[#This Row],[Date revente]])-Table1368[[#This Row],[Date réception Achat]])</f>
      </c>
      <c r="AD347" s="139">
        <f>IF(ISBLANK(Table1368[[#This Row],[Date revente]]),"",IF(ISBLANK(Table1368[[#This Row],[Date revente]]),TODAY(),Table1368[[#This Row],[Date revente]])-Table1368[[#This Row],[Date achat]])</f>
      </c>
    </row>
    <row r="348" spans="1:30" x14ac:dyDescent="0.25">
      <c r="A348" s="134">
        <v>46213</v>
      </c>
      <c r="B348" s="143" t="s">
        <v>962</v>
      </c>
      <c r="C348" s="134" t="s">
        <v>963</v>
      </c>
      <c r="D348" s="156" t="s">
        <v>953</v>
      </c>
      <c r="E348" s="156">
        <v>322</v>
      </c>
      <c r="F348" s="156" t="s">
        <v>765</v>
      </c>
      <c r="G348" s="159" t="s">
        <v>964</v>
      </c>
      <c r="H348" s="155" t="s">
        <v>174</v>
      </c>
      <c r="I348" s="134" t="s">
        <v>165</v>
      </c>
      <c r="J348" s="134" t="s">
        <v>157</v>
      </c>
      <c r="K348" s="135">
        <v>20.5095</v>
      </c>
      <c r="L348" s="135">
        <f>Table1368[[#This Row],[Prix total Achat]]-Table1368[[#This Row],[Prix article]]</f>
        <v>14.516978249999998</v>
      </c>
      <c r="M348" s="135">
        <v>35.02647825</v>
      </c>
      <c r="N348" s="134">
        <v>46298</v>
      </c>
      <c r="O348" s="136">
        <f>(Table1368[[#This Row],[Prix total Achat]]*2)</f>
        <v>70.0529565</v>
      </c>
      <c r="P348" s="136">
        <f>Table1368[[#This Row],[Prix Min voulu (x2 )]]*1.2</f>
        <v>84.0635478</v>
      </c>
      <c r="Q348" s="134">
        <v>46302</v>
      </c>
      <c r="R348" s="134"/>
      <c r="S348" s="135"/>
      <c r="T348" s="134"/>
      <c r="U348" s="134"/>
      <c r="V348" s="137">
        <f>IF(ISBLANK(Table1368[[#This Row],[Date réception Achat]]),"",IF(ISBLANK(Table1368[[#This Row],[Date revente]]),TODAY(),Table1368[[#This Row],[Date revente]])-Table1368[[#This Row],[Date réception Achat]])</f>
        <v>5</v>
      </c>
      <c r="W34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48" s="135">
        <f>IF(Table1368[[#This Row],[Prix de revente]]="","",Table1368[[#This Row],[Prix de revente]]-Table1368[[#This Row],[Prix total Achat]])</f>
      </c>
      <c r="Y348" s="138">
        <f>IF(Table1368[[#This Row],[Prix de revente]]="","",(Table1368[[#This Row],[Prix de revente]]/Table1368[[#This Row],[Prix total Achat]]))</f>
      </c>
      <c r="Z348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348" s="139">
        <f>IF(ISBLANK(Table1368[[#This Row],[Date relisting]]),"",IF(ISBLANK(Table1368[[#This Row],[Date relisting]]),TODAY(),Table1368[[#This Row],[Date relisting]])-Table1368[[#This Row],[Date réception Achat]])</f>
        <v>4</v>
      </c>
      <c r="AB348" s="139">
        <f>IF(ISBLANK(Table1368[[#This Row],[Date revente]]),"",IF(ISBLANK(Table1368[[#This Row],[Date revente]]),TODAY(),Table1368[[#This Row],[Date revente]])-Table1368[[#This Row],[Date relisting]])</f>
      </c>
      <c r="AC348" s="139">
        <f>IF(ISBLANK(Table1368[[#This Row],[Date revente]]),"",IF(ISBLANK(Table1368[[#This Row],[Date revente]]),TODAY(),Table1368[[#This Row],[Date revente]])-Table1368[[#This Row],[Date réception Achat]])</f>
      </c>
      <c r="AD348" s="139">
        <f>IF(ISBLANK(Table1368[[#This Row],[Date revente]]),"",IF(ISBLANK(Table1368[[#This Row],[Date revente]]),TODAY(),Table1368[[#This Row],[Date revente]])-Table1368[[#This Row],[Date achat]])</f>
      </c>
    </row>
    <row r="349" spans="1:30" x14ac:dyDescent="0.25">
      <c r="A349" s="134">
        <v>46213</v>
      </c>
      <c r="B349" s="143" t="s">
        <v>965</v>
      </c>
      <c r="C349" s="134" t="s">
        <v>966</v>
      </c>
      <c r="D349" s="156" t="s">
        <v>953</v>
      </c>
      <c r="E349" s="156">
        <v>420</v>
      </c>
      <c r="F349" s="156" t="s">
        <v>765</v>
      </c>
      <c r="G349" s="159" t="s">
        <v>392</v>
      </c>
      <c r="H349" s="155" t="s">
        <v>178</v>
      </c>
      <c r="I349" s="134" t="s">
        <v>165</v>
      </c>
      <c r="J349" s="134" t="s">
        <v>157</v>
      </c>
      <c r="K349" s="135">
        <v>17.599999999999998</v>
      </c>
      <c r="L349" s="135">
        <f>Table1368[[#This Row],[Prix total Achat]]-Table1368[[#This Row],[Prix article]]</f>
        <v>14.516978250000005</v>
      </c>
      <c r="M349" s="135">
        <v>32.11697825</v>
      </c>
      <c r="N349" s="134">
        <v>46298</v>
      </c>
      <c r="O349" s="136">
        <f>(Table1368[[#This Row],[Prix total Achat]]*2)</f>
        <v>64.2339565</v>
      </c>
      <c r="P349" s="136">
        <f>Table1368[[#This Row],[Prix Min voulu (x2 )]]*1.2</f>
        <v>77.0807478</v>
      </c>
      <c r="Q349" s="134">
        <v>46303</v>
      </c>
      <c r="R349" s="134"/>
      <c r="S349" s="135"/>
      <c r="T349" s="134"/>
      <c r="U349" s="134"/>
      <c r="V349" s="137">
        <f>IF(ISBLANK(Table1368[[#This Row],[Date réception Achat]]),"",IF(ISBLANK(Table1368[[#This Row],[Date revente]]),TODAY(),Table1368[[#This Row],[Date revente]])-Table1368[[#This Row],[Date réception Achat]])</f>
        <v>5</v>
      </c>
      <c r="W34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49" s="135">
        <f>IF(Table1368[[#This Row],[Prix de revente]]="","",Table1368[[#This Row],[Prix de revente]]-Table1368[[#This Row],[Prix total Achat]])</f>
      </c>
      <c r="Y349" s="138">
        <f>IF(Table1368[[#This Row],[Prix de revente]]="","",(Table1368[[#This Row],[Prix de revente]]/Table1368[[#This Row],[Prix total Achat]]))</f>
      </c>
      <c r="Z349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349" s="139">
        <f>IF(ISBLANK(Table1368[[#This Row],[Date relisting]]),"",IF(ISBLANK(Table1368[[#This Row],[Date relisting]]),TODAY(),Table1368[[#This Row],[Date relisting]])-Table1368[[#This Row],[Date réception Achat]])</f>
        <v>5</v>
      </c>
      <c r="AB349" s="139">
        <f>IF(ISBLANK(Table1368[[#This Row],[Date revente]]),"",IF(ISBLANK(Table1368[[#This Row],[Date revente]]),TODAY(),Table1368[[#This Row],[Date revente]])-Table1368[[#This Row],[Date relisting]])</f>
      </c>
      <c r="AC349" s="139">
        <f>IF(ISBLANK(Table1368[[#This Row],[Date revente]]),"",IF(ISBLANK(Table1368[[#This Row],[Date revente]]),TODAY(),Table1368[[#This Row],[Date revente]])-Table1368[[#This Row],[Date réception Achat]])</f>
      </c>
      <c r="AD349" s="139">
        <f>IF(ISBLANK(Table1368[[#This Row],[Date revente]]),"",IF(ISBLANK(Table1368[[#This Row],[Date revente]]),TODAY(),Table1368[[#This Row],[Date revente]])-Table1368[[#This Row],[Date achat]])</f>
      </c>
    </row>
    <row r="350" spans="1:30" x14ac:dyDescent="0.25">
      <c r="A350" s="134">
        <v>46213</v>
      </c>
      <c r="B350" s="143" t="s">
        <v>967</v>
      </c>
      <c r="C350" s="134" t="s">
        <v>968</v>
      </c>
      <c r="D350" s="156" t="s">
        <v>953</v>
      </c>
      <c r="E350" s="156">
        <v>436</v>
      </c>
      <c r="F350" s="156" t="s">
        <v>765</v>
      </c>
      <c r="G350" s="159" t="s">
        <v>173</v>
      </c>
      <c r="H350" s="155" t="s">
        <v>969</v>
      </c>
      <c r="I350" s="134" t="s">
        <v>165</v>
      </c>
      <c r="J350" s="134" t="s">
        <v>157</v>
      </c>
      <c r="K350" s="135">
        <v>30.25</v>
      </c>
      <c r="L350" s="135">
        <f>Table1368[[#This Row],[Prix total Achat]]-Table1368[[#This Row],[Prix article]]</f>
        <v>14.516978250000001</v>
      </c>
      <c r="M350" s="135">
        <v>44.76697825</v>
      </c>
      <c r="N350" s="134">
        <v>46298</v>
      </c>
      <c r="O350" s="136">
        <f>(Table1368[[#This Row],[Prix total Achat]]*2)</f>
        <v>89.5339565</v>
      </c>
      <c r="P350" s="136">
        <f>Table1368[[#This Row],[Prix Min voulu (x2 )]]*1.2</f>
        <v>107.4407478</v>
      </c>
      <c r="Q350" s="134">
        <v>46301</v>
      </c>
      <c r="R350" s="134"/>
      <c r="S350" s="135"/>
      <c r="T350" s="134"/>
      <c r="U350" s="134"/>
      <c r="V350" s="137">
        <f>IF(ISBLANK(Table1368[[#This Row],[Date réception Achat]]),"",IF(ISBLANK(Table1368[[#This Row],[Date revente]]),TODAY(),Table1368[[#This Row],[Date revente]])-Table1368[[#This Row],[Date réception Achat]])</f>
        <v>5</v>
      </c>
      <c r="W35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50" s="135">
        <f>IF(Table1368[[#This Row],[Prix de revente]]="","",Table1368[[#This Row],[Prix de revente]]-Table1368[[#This Row],[Prix total Achat]])</f>
      </c>
      <c r="Y350" s="138">
        <f>IF(Table1368[[#This Row],[Prix de revente]]="","",(Table1368[[#This Row],[Prix de revente]]/Table1368[[#This Row],[Prix total Achat]]))</f>
      </c>
      <c r="Z350" s="139">
        <f>IF(ISBLANK(Table1368[[#This Row],[Date réception Achat]]),"",IF(ISBLANK(Table1368[[#This Row],[Date réception Achat]]),TODAY(),Table1368[[#This Row],[Date réception Achat]])-Table1368[[#This Row],[Date achat]])</f>
        <v>85</v>
      </c>
      <c r="AA350" s="139">
        <f>IF(ISBLANK(Table1368[[#This Row],[Date relisting]]),"",IF(ISBLANK(Table1368[[#This Row],[Date relisting]]),TODAY(),Table1368[[#This Row],[Date relisting]])-Table1368[[#This Row],[Date réception Achat]])</f>
        <v>3</v>
      </c>
      <c r="AB350" s="139">
        <f>IF(ISBLANK(Table1368[[#This Row],[Date revente]]),"",IF(ISBLANK(Table1368[[#This Row],[Date revente]]),TODAY(),Table1368[[#This Row],[Date revente]])-Table1368[[#This Row],[Date relisting]])</f>
      </c>
      <c r="AC350" s="139">
        <f>IF(ISBLANK(Table1368[[#This Row],[Date revente]]),"",IF(ISBLANK(Table1368[[#This Row],[Date revente]]),TODAY(),Table1368[[#This Row],[Date revente]])-Table1368[[#This Row],[Date réception Achat]])</f>
      </c>
      <c r="AD350" s="139">
        <f>IF(ISBLANK(Table1368[[#This Row],[Date revente]]),"",IF(ISBLANK(Table1368[[#This Row],[Date revente]]),TODAY(),Table1368[[#This Row],[Date revente]])-Table1368[[#This Row],[Date achat]])</f>
      </c>
    </row>
    <row r="351" spans="1:30" x14ac:dyDescent="0.25">
      <c r="A351" s="134">
        <v>46214</v>
      </c>
      <c r="B351" s="141" t="s">
        <v>970</v>
      </c>
      <c r="C351" s="134" t="s">
        <v>971</v>
      </c>
      <c r="D351" s="156" t="s">
        <v>972</v>
      </c>
      <c r="E351" s="156"/>
      <c r="F351" s="156"/>
      <c r="G351" s="159" t="s">
        <v>392</v>
      </c>
      <c r="H351" s="155" t="s">
        <v>178</v>
      </c>
      <c r="I351" s="134" t="s">
        <v>165</v>
      </c>
      <c r="J351" s="134" t="s">
        <v>157</v>
      </c>
      <c r="K351" s="135">
        <v>11</v>
      </c>
      <c r="L351" s="135">
        <f>Table1368[[#This Row],[Prix total Achat]]-Table1368[[#This Row],[Prix article]]</f>
        <v>11.609236888888887</v>
      </c>
      <c r="M351" s="135">
        <v>22.609236888888887</v>
      </c>
      <c r="N351" s="134">
        <v>46226</v>
      </c>
      <c r="O351" s="136">
        <f>(Table1368[[#This Row],[Prix total Achat]]*2)</f>
        <v>45.218473777777774</v>
      </c>
      <c r="P351" s="136">
        <f>Table1368[[#This Row],[Prix Min voulu (x2 )]]*1.2</f>
        <v>54.26216853333333</v>
      </c>
      <c r="Q351" s="134">
        <v>46229</v>
      </c>
      <c r="R351" s="134">
        <v>46233</v>
      </c>
      <c r="S351" s="135">
        <v>75</v>
      </c>
      <c r="T351" s="134" t="s">
        <v>160</v>
      </c>
      <c r="U351" s="134" t="s">
        <v>157</v>
      </c>
      <c r="V351" s="137">
        <f>IF(ISBLANK(Table1368[[#This Row],[Date réception Achat]]),"",IF(ISBLANK(Table1368[[#This Row],[Date revente]]),TODAY(),Table1368[[#This Row],[Date revente]])-Table1368[[#This Row],[Date réception Achat]])</f>
        <v>7</v>
      </c>
      <c r="W35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51" s="135">
        <f>IF(Table1368[[#This Row],[Prix de revente]]="","",Table1368[[#This Row],[Prix de revente]]-Table1368[[#This Row],[Prix total Achat]])</f>
        <v>52.39076311111111</v>
      </c>
      <c r="Y351" s="138">
        <f>IF(Table1368[[#This Row],[Prix de revente]]="","",(Table1368[[#This Row],[Prix de revente]]/Table1368[[#This Row],[Prix total Achat]]))</f>
        <v>3.3172282801308564</v>
      </c>
      <c r="Z351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1" s="139">
        <f>IF(ISBLANK(Table1368[[#This Row],[Date relisting]]),"",IF(ISBLANK(Table1368[[#This Row],[Date relisting]]),TODAY(),Table1368[[#This Row],[Date relisting]])-Table1368[[#This Row],[Date réception Achat]])</f>
        <v>3</v>
      </c>
      <c r="AB351" s="139">
        <f>IF(ISBLANK(Table1368[[#This Row],[Date revente]]),"",IF(ISBLANK(Table1368[[#This Row],[Date revente]]),TODAY(),Table1368[[#This Row],[Date revente]])-Table1368[[#This Row],[Date relisting]])</f>
        <v>4</v>
      </c>
      <c r="AC351" s="139">
        <f>IF(ISBLANK(Table1368[[#This Row],[Date revente]]),"",IF(ISBLANK(Table1368[[#This Row],[Date revente]]),TODAY(),Table1368[[#This Row],[Date revente]])-Table1368[[#This Row],[Date réception Achat]])</f>
        <v>7</v>
      </c>
      <c r="AD351" s="139">
        <f>IF(ISBLANK(Table1368[[#This Row],[Date revente]]),"",IF(ISBLANK(Table1368[[#This Row],[Date revente]]),TODAY(),Table1368[[#This Row],[Date revente]])-Table1368[[#This Row],[Date achat]])</f>
        <v>19</v>
      </c>
    </row>
    <row r="352" spans="1:30" x14ac:dyDescent="0.25">
      <c r="A352" s="134">
        <v>46214</v>
      </c>
      <c r="B352" s="141" t="s">
        <v>970</v>
      </c>
      <c r="C352" s="134" t="s">
        <v>973</v>
      </c>
      <c r="D352" s="156" t="s">
        <v>972</v>
      </c>
      <c r="E352" s="156"/>
      <c r="F352" s="156"/>
      <c r="G352" s="159" t="s">
        <v>392</v>
      </c>
      <c r="H352" s="155" t="s">
        <v>178</v>
      </c>
      <c r="I352" s="134" t="s">
        <v>165</v>
      </c>
      <c r="J352" s="134" t="s">
        <v>157</v>
      </c>
      <c r="K352" s="135">
        <v>11</v>
      </c>
      <c r="L352" s="135">
        <f>Table1368[[#This Row],[Prix total Achat]]-Table1368[[#This Row],[Prix article]]</f>
        <v>11.609236888888887</v>
      </c>
      <c r="M352" s="135">
        <v>22.609236888888887</v>
      </c>
      <c r="N352" s="134">
        <v>46226</v>
      </c>
      <c r="O352" s="136">
        <f>(Table1368[[#This Row],[Prix total Achat]]*2)</f>
        <v>45.218473777777774</v>
      </c>
      <c r="P352" s="136">
        <f>Table1368[[#This Row],[Prix Min voulu (x2 )]]*1.2</f>
        <v>54.26216853333333</v>
      </c>
      <c r="Q352" s="134">
        <v>46229</v>
      </c>
      <c r="R352" s="134">
        <v>46230</v>
      </c>
      <c r="S352" s="135">
        <v>75</v>
      </c>
      <c r="T352" s="134" t="s">
        <v>160</v>
      </c>
      <c r="U352" s="134" t="s">
        <v>157</v>
      </c>
      <c r="V352" s="137">
        <f>IF(ISBLANK(Table1368[[#This Row],[Date réception Achat]]),"",IF(ISBLANK(Table1368[[#This Row],[Date revente]]),TODAY(),Table1368[[#This Row],[Date revente]])-Table1368[[#This Row],[Date réception Achat]])</f>
        <v>4</v>
      </c>
      <c r="W35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52" s="135">
        <f>IF(Table1368[[#This Row],[Prix de revente]]="","",Table1368[[#This Row],[Prix de revente]]-Table1368[[#This Row],[Prix total Achat]])</f>
        <v>52.39076311111111</v>
      </c>
      <c r="Y352" s="138">
        <f>IF(Table1368[[#This Row],[Prix de revente]]="","",(Table1368[[#This Row],[Prix de revente]]/Table1368[[#This Row],[Prix total Achat]]))</f>
        <v>3.3172282801308564</v>
      </c>
      <c r="Z352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2" s="139">
        <f>IF(ISBLANK(Table1368[[#This Row],[Date relisting]]),"",IF(ISBLANK(Table1368[[#This Row],[Date relisting]]),TODAY(),Table1368[[#This Row],[Date relisting]])-Table1368[[#This Row],[Date réception Achat]])</f>
        <v>3</v>
      </c>
      <c r="AB352" s="139">
        <f>IF(ISBLANK(Table1368[[#This Row],[Date revente]]),"",IF(ISBLANK(Table1368[[#This Row],[Date revente]]),TODAY(),Table1368[[#This Row],[Date revente]])-Table1368[[#This Row],[Date relisting]])</f>
        <v>1</v>
      </c>
      <c r="AC352" s="139">
        <f>IF(ISBLANK(Table1368[[#This Row],[Date revente]]),"",IF(ISBLANK(Table1368[[#This Row],[Date revente]]),TODAY(),Table1368[[#This Row],[Date revente]])-Table1368[[#This Row],[Date réception Achat]])</f>
        <v>4</v>
      </c>
      <c r="AD352" s="139">
        <f>IF(ISBLANK(Table1368[[#This Row],[Date revente]]),"",IF(ISBLANK(Table1368[[#This Row],[Date revente]]),TODAY(),Table1368[[#This Row],[Date revente]])-Table1368[[#This Row],[Date achat]])</f>
        <v>16</v>
      </c>
    </row>
    <row r="353" spans="1:30" x14ac:dyDescent="0.25">
      <c r="A353" s="134">
        <v>46214</v>
      </c>
      <c r="B353" s="141" t="s">
        <v>970</v>
      </c>
      <c r="C353" s="134" t="s">
        <v>974</v>
      </c>
      <c r="D353" s="156" t="s">
        <v>972</v>
      </c>
      <c r="E353" s="156"/>
      <c r="F353" s="156"/>
      <c r="G353" s="159" t="s">
        <v>392</v>
      </c>
      <c r="H353" s="155" t="s">
        <v>174</v>
      </c>
      <c r="I353" s="134" t="s">
        <v>165</v>
      </c>
      <c r="J353" s="134" t="s">
        <v>157</v>
      </c>
      <c r="K353" s="135">
        <v>11</v>
      </c>
      <c r="L353" s="135">
        <f>Table1368[[#This Row],[Prix total Achat]]-Table1368[[#This Row],[Prix article]]</f>
        <v>11.609236888888887</v>
      </c>
      <c r="M353" s="135">
        <v>22.609236888888887</v>
      </c>
      <c r="N353" s="134">
        <v>46226</v>
      </c>
      <c r="O353" s="136">
        <f>(Table1368[[#This Row],[Prix total Achat]]*2)</f>
        <v>45.218473777777774</v>
      </c>
      <c r="P353" s="136">
        <f>Table1368[[#This Row],[Prix Min voulu (x2 )]]*1.2</f>
        <v>54.26216853333333</v>
      </c>
      <c r="Q353" s="134">
        <v>46229</v>
      </c>
      <c r="R353" s="134">
        <v>46230</v>
      </c>
      <c r="S353" s="135">
        <v>75</v>
      </c>
      <c r="T353" s="134" t="s">
        <v>160</v>
      </c>
      <c r="U353" s="134" t="s">
        <v>157</v>
      </c>
      <c r="V353" s="137">
        <f>IF(ISBLANK(Table1368[[#This Row],[Date réception Achat]]),"",IF(ISBLANK(Table1368[[#This Row],[Date revente]]),TODAY(),Table1368[[#This Row],[Date revente]])-Table1368[[#This Row],[Date réception Achat]])</f>
        <v>4</v>
      </c>
      <c r="W35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53" s="135">
        <f>IF(Table1368[[#This Row],[Prix de revente]]="","",Table1368[[#This Row],[Prix de revente]]-Table1368[[#This Row],[Prix total Achat]])</f>
        <v>52.39076311111111</v>
      </c>
      <c r="Y353" s="138">
        <f>IF(Table1368[[#This Row],[Prix de revente]]="","",(Table1368[[#This Row],[Prix de revente]]/Table1368[[#This Row],[Prix total Achat]]))</f>
        <v>3.3172282801308564</v>
      </c>
      <c r="Z353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3" s="139">
        <f>IF(ISBLANK(Table1368[[#This Row],[Date relisting]]),"",IF(ISBLANK(Table1368[[#This Row],[Date relisting]]),TODAY(),Table1368[[#This Row],[Date relisting]])-Table1368[[#This Row],[Date réception Achat]])</f>
        <v>3</v>
      </c>
      <c r="AB353" s="139">
        <f>IF(ISBLANK(Table1368[[#This Row],[Date revente]]),"",IF(ISBLANK(Table1368[[#This Row],[Date revente]]),TODAY(),Table1368[[#This Row],[Date revente]])-Table1368[[#This Row],[Date relisting]])</f>
        <v>1</v>
      </c>
      <c r="AC353" s="139">
        <f>IF(ISBLANK(Table1368[[#This Row],[Date revente]]),"",IF(ISBLANK(Table1368[[#This Row],[Date revente]]),TODAY(),Table1368[[#This Row],[Date revente]])-Table1368[[#This Row],[Date réception Achat]])</f>
        <v>4</v>
      </c>
      <c r="AD353" s="139">
        <f>IF(ISBLANK(Table1368[[#This Row],[Date revente]]),"",IF(ISBLANK(Table1368[[#This Row],[Date revente]]),TODAY(),Table1368[[#This Row],[Date revente]])-Table1368[[#This Row],[Date achat]])</f>
        <v>16</v>
      </c>
    </row>
    <row r="354" spans="1:30" x14ac:dyDescent="0.25">
      <c r="A354" s="134">
        <v>46214</v>
      </c>
      <c r="B354" s="141" t="s">
        <v>975</v>
      </c>
      <c r="C354" s="134" t="s">
        <v>976</v>
      </c>
      <c r="D354" s="156" t="s">
        <v>972</v>
      </c>
      <c r="E354" s="156"/>
      <c r="F354" s="156"/>
      <c r="G354" s="159" t="s">
        <v>392</v>
      </c>
      <c r="H354" s="155" t="s">
        <v>194</v>
      </c>
      <c r="I354" s="134" t="s">
        <v>165</v>
      </c>
      <c r="J354" s="134" t="s">
        <v>157</v>
      </c>
      <c r="K354" s="135">
        <v>12.837</v>
      </c>
      <c r="L354" s="135">
        <f>Table1368[[#This Row],[Prix total Achat]]-Table1368[[#This Row],[Prix article]]</f>
        <v>11.609236888888887</v>
      </c>
      <c r="M354" s="135">
        <v>24.446236888888887</v>
      </c>
      <c r="N354" s="134">
        <v>46226</v>
      </c>
      <c r="O354" s="136">
        <f>(Table1368[[#This Row],[Prix total Achat]]*2)</f>
        <v>48.892473777777774</v>
      </c>
      <c r="P354" s="136">
        <f>Table1368[[#This Row],[Prix Min voulu (x2 )]]*1.2</f>
        <v>58.67096853333332</v>
      </c>
      <c r="Q354" s="134">
        <v>46229</v>
      </c>
      <c r="R354" s="134">
        <v>46239</v>
      </c>
      <c r="S354" s="135">
        <v>59.05</v>
      </c>
      <c r="T354" s="134" t="s">
        <v>160</v>
      </c>
      <c r="U354" s="134" t="s">
        <v>261</v>
      </c>
      <c r="V354" s="137">
        <f>IF(ISBLANK(Table1368[[#This Row],[Date réception Achat]]),"",IF(ISBLANK(Table1368[[#This Row],[Date revente]]),TODAY(),Table1368[[#This Row],[Date revente]])-Table1368[[#This Row],[Date réception Achat]])</f>
        <v>13</v>
      </c>
      <c r="W35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54" s="135">
        <f>IF(Table1368[[#This Row],[Prix de revente]]="","",Table1368[[#This Row],[Prix de revente]]-Table1368[[#This Row],[Prix total Achat]])</f>
        <v>34.60376311111111</v>
      </c>
      <c r="Y354" s="138">
        <f>IF(Table1368[[#This Row],[Prix de revente]]="","",(Table1368[[#This Row],[Prix de revente]]/Table1368[[#This Row],[Prix total Achat]]))</f>
        <v>2.4155046958102147</v>
      </c>
      <c r="Z354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4" s="139">
        <f>IF(ISBLANK(Table1368[[#This Row],[Date relisting]]),"",IF(ISBLANK(Table1368[[#This Row],[Date relisting]]),TODAY(),Table1368[[#This Row],[Date relisting]])-Table1368[[#This Row],[Date réception Achat]])</f>
        <v>3</v>
      </c>
      <c r="AB354" s="139">
        <f>IF(ISBLANK(Table1368[[#This Row],[Date revente]]),"",IF(ISBLANK(Table1368[[#This Row],[Date revente]]),TODAY(),Table1368[[#This Row],[Date revente]])-Table1368[[#This Row],[Date relisting]])</f>
        <v>10</v>
      </c>
      <c r="AC354" s="139">
        <f>IF(ISBLANK(Table1368[[#This Row],[Date revente]]),"",IF(ISBLANK(Table1368[[#This Row],[Date revente]]),TODAY(),Table1368[[#This Row],[Date revente]])-Table1368[[#This Row],[Date réception Achat]])</f>
        <v>13</v>
      </c>
      <c r="AD354" s="139">
        <f>IF(ISBLANK(Table1368[[#This Row],[Date revente]]),"",IF(ISBLANK(Table1368[[#This Row],[Date revente]]),TODAY(),Table1368[[#This Row],[Date revente]])-Table1368[[#This Row],[Date achat]])</f>
        <v>25</v>
      </c>
    </row>
    <row r="355" spans="1:30" x14ac:dyDescent="0.25">
      <c r="A355" s="134">
        <v>46214</v>
      </c>
      <c r="B355" s="141" t="s">
        <v>975</v>
      </c>
      <c r="C355" s="134" t="s">
        <v>977</v>
      </c>
      <c r="D355" s="156" t="s">
        <v>972</v>
      </c>
      <c r="E355" s="156"/>
      <c r="F355" s="156"/>
      <c r="G355" s="159" t="s">
        <v>392</v>
      </c>
      <c r="H355" s="155" t="s">
        <v>194</v>
      </c>
      <c r="I355" s="134" t="s">
        <v>165</v>
      </c>
      <c r="J355" s="134" t="s">
        <v>157</v>
      </c>
      <c r="K355" s="135">
        <v>12.837</v>
      </c>
      <c r="L355" s="135">
        <f>Table1368[[#This Row],[Prix total Achat]]-Table1368[[#This Row],[Prix article]]</f>
        <v>11.609236888888887</v>
      </c>
      <c r="M355" s="135">
        <v>24.446236888888887</v>
      </c>
      <c r="N355" s="134">
        <v>46226</v>
      </c>
      <c r="O355" s="136">
        <f>(Table1368[[#This Row],[Prix total Achat]]*2)</f>
        <v>48.892473777777774</v>
      </c>
      <c r="P355" s="136">
        <f>Table1368[[#This Row],[Prix Min voulu (x2 )]]*1.2</f>
        <v>58.67096853333332</v>
      </c>
      <c r="Q355" s="134">
        <v>46229</v>
      </c>
      <c r="R355" s="134"/>
      <c r="S355" s="135"/>
      <c r="T355" s="134"/>
      <c r="U355" s="134"/>
      <c r="V355" s="137">
        <f>IF(ISBLANK(Table1368[[#This Row],[Date réception Achat]]),"",IF(ISBLANK(Table1368[[#This Row],[Date revente]]),TODAY(),Table1368[[#This Row],[Date revente]])-Table1368[[#This Row],[Date réception Achat]])</f>
        <v>77</v>
      </c>
      <c r="W35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55" s="135">
        <f>IF(Table1368[[#This Row],[Prix de revente]]="","",Table1368[[#This Row],[Prix de revente]]-Table1368[[#This Row],[Prix total Achat]])</f>
      </c>
      <c r="Y355" s="138">
        <f>IF(Table1368[[#This Row],[Prix de revente]]="","",(Table1368[[#This Row],[Prix de revente]]/Table1368[[#This Row],[Prix total Achat]]))</f>
      </c>
      <c r="Z355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5" s="139">
        <f>IF(ISBLANK(Table1368[[#This Row],[Date relisting]]),"",IF(ISBLANK(Table1368[[#This Row],[Date relisting]]),TODAY(),Table1368[[#This Row],[Date relisting]])-Table1368[[#This Row],[Date réception Achat]])</f>
        <v>3</v>
      </c>
      <c r="AB355" s="139">
        <f>IF(ISBLANK(Table1368[[#This Row],[Date revente]]),"",IF(ISBLANK(Table1368[[#This Row],[Date revente]]),TODAY(),Table1368[[#This Row],[Date revente]])-Table1368[[#This Row],[Date relisting]])</f>
      </c>
      <c r="AC355" s="139">
        <f>IF(ISBLANK(Table1368[[#This Row],[Date revente]]),"",IF(ISBLANK(Table1368[[#This Row],[Date revente]]),TODAY(),Table1368[[#This Row],[Date revente]])-Table1368[[#This Row],[Date réception Achat]])</f>
      </c>
      <c r="AD355" s="139">
        <f>IF(ISBLANK(Table1368[[#This Row],[Date revente]]),"",IF(ISBLANK(Table1368[[#This Row],[Date revente]]),TODAY(),Table1368[[#This Row],[Date revente]])-Table1368[[#This Row],[Date achat]])</f>
      </c>
    </row>
    <row r="356" spans="1:30" x14ac:dyDescent="0.25">
      <c r="A356" s="134">
        <v>46214</v>
      </c>
      <c r="B356" s="141" t="s">
        <v>975</v>
      </c>
      <c r="C356" s="134" t="s">
        <v>978</v>
      </c>
      <c r="D356" s="156" t="s">
        <v>972</v>
      </c>
      <c r="E356" s="156"/>
      <c r="F356" s="156"/>
      <c r="G356" s="159" t="s">
        <v>392</v>
      </c>
      <c r="H356" s="155" t="s">
        <v>174</v>
      </c>
      <c r="I356" s="134" t="s">
        <v>165</v>
      </c>
      <c r="J356" s="134" t="s">
        <v>157</v>
      </c>
      <c r="K356" s="135">
        <v>12.837</v>
      </c>
      <c r="L356" s="135">
        <f>Table1368[[#This Row],[Prix total Achat]]-Table1368[[#This Row],[Prix article]]</f>
        <v>11.609236888888887</v>
      </c>
      <c r="M356" s="135">
        <v>24.446236888888887</v>
      </c>
      <c r="N356" s="134">
        <v>46226</v>
      </c>
      <c r="O356" s="136">
        <f>(Table1368[[#This Row],[Prix total Achat]]*2)</f>
        <v>48.892473777777774</v>
      </c>
      <c r="P356" s="136">
        <f>Table1368[[#This Row],[Prix Min voulu (x2 )]]*1.2</f>
        <v>58.67096853333332</v>
      </c>
      <c r="Q356" s="134">
        <v>46229</v>
      </c>
      <c r="R356" s="134">
        <v>46273</v>
      </c>
      <c r="S356" s="135">
        <v>70</v>
      </c>
      <c r="T356" s="134" t="s">
        <v>160</v>
      </c>
      <c r="U356" s="134" t="s">
        <v>157</v>
      </c>
      <c r="V356" s="137">
        <f>IF(ISBLANK(Table1368[[#This Row],[Date réception Achat]]),"",IF(ISBLANK(Table1368[[#This Row],[Date revente]]),TODAY(),Table1368[[#This Row],[Date revente]])-Table1368[[#This Row],[Date réception Achat]])</f>
        <v>47</v>
      </c>
      <c r="W35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56" s="135">
        <f>IF(Table1368[[#This Row],[Prix de revente]]="","",Table1368[[#This Row],[Prix de revente]]-Table1368[[#This Row],[Prix total Achat]])</f>
        <v>45.55376311111111</v>
      </c>
      <c r="Y356" s="138">
        <f>IF(Table1368[[#This Row],[Prix de revente]]="","",(Table1368[[#This Row],[Prix de revente]]/Table1368[[#This Row],[Prix total Achat]]))</f>
        <v>2.8634263963880615</v>
      </c>
      <c r="Z356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6" s="139">
        <f>IF(ISBLANK(Table1368[[#This Row],[Date relisting]]),"",IF(ISBLANK(Table1368[[#This Row],[Date relisting]]),TODAY(),Table1368[[#This Row],[Date relisting]])-Table1368[[#This Row],[Date réception Achat]])</f>
        <v>3</v>
      </c>
      <c r="AB356" s="139">
        <f>IF(ISBLANK(Table1368[[#This Row],[Date revente]]),"",IF(ISBLANK(Table1368[[#This Row],[Date revente]]),TODAY(),Table1368[[#This Row],[Date revente]])-Table1368[[#This Row],[Date relisting]])</f>
        <v>44</v>
      </c>
      <c r="AC356" s="139">
        <f>IF(ISBLANK(Table1368[[#This Row],[Date revente]]),"",IF(ISBLANK(Table1368[[#This Row],[Date revente]]),TODAY(),Table1368[[#This Row],[Date revente]])-Table1368[[#This Row],[Date réception Achat]])</f>
        <v>47</v>
      </c>
      <c r="AD356" s="139">
        <f>IF(ISBLANK(Table1368[[#This Row],[Date revente]]),"",IF(ISBLANK(Table1368[[#This Row],[Date revente]]),TODAY(),Table1368[[#This Row],[Date revente]])-Table1368[[#This Row],[Date achat]])</f>
        <v>59</v>
      </c>
    </row>
    <row r="357" spans="1:30" x14ac:dyDescent="0.25">
      <c r="A357" s="134">
        <v>46214</v>
      </c>
      <c r="B357" s="141" t="s">
        <v>979</v>
      </c>
      <c r="C357" s="134" t="s">
        <v>980</v>
      </c>
      <c r="D357" s="156" t="s">
        <v>972</v>
      </c>
      <c r="E357" s="156"/>
      <c r="F357" s="156"/>
      <c r="G357" s="159" t="s">
        <v>392</v>
      </c>
      <c r="H357" s="155" t="s">
        <v>295</v>
      </c>
      <c r="I357" s="134" t="s">
        <v>165</v>
      </c>
      <c r="J357" s="134" t="s">
        <v>157</v>
      </c>
      <c r="K357" s="135">
        <v>16.5</v>
      </c>
      <c r="L357" s="135">
        <f>Table1368[[#This Row],[Prix total Achat]]-Table1368[[#This Row],[Prix article]]</f>
        <v>11.609236888888887</v>
      </c>
      <c r="M357" s="135">
        <v>28.109236888888887</v>
      </c>
      <c r="N357" s="134">
        <v>46226</v>
      </c>
      <c r="O357" s="136">
        <f>(Table1368[[#This Row],[Prix total Achat]]*2)</f>
        <v>56.218473777777774</v>
      </c>
      <c r="P357" s="136">
        <f>Table1368[[#This Row],[Prix Min voulu (x2 )]]*1.2</f>
        <v>67.46216853333333</v>
      </c>
      <c r="Q357" s="134">
        <v>46230</v>
      </c>
      <c r="R357" s="134"/>
      <c r="S357" s="135"/>
      <c r="T357" s="134"/>
      <c r="U357" s="134" t="s">
        <v>157</v>
      </c>
      <c r="V357" s="137">
        <f>IF(ISBLANK(Table1368[[#This Row],[Date réception Achat]]),"",IF(ISBLANK(Table1368[[#This Row],[Date revente]]),TODAY(),Table1368[[#This Row],[Date revente]])-Table1368[[#This Row],[Date réception Achat]])</f>
        <v>77</v>
      </c>
      <c r="W35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57" s="135">
        <f>IF(Table1368[[#This Row],[Prix de revente]]="","",Table1368[[#This Row],[Prix de revente]]-Table1368[[#This Row],[Prix total Achat]])</f>
      </c>
      <c r="Y357" s="138">
        <f>IF(Table1368[[#This Row],[Prix de revente]]="","",(Table1368[[#This Row],[Prix de revente]]/Table1368[[#This Row],[Prix total Achat]]))</f>
      </c>
      <c r="Z357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7" s="139">
        <f>IF(ISBLANK(Table1368[[#This Row],[Date relisting]]),"",IF(ISBLANK(Table1368[[#This Row],[Date relisting]]),TODAY(),Table1368[[#This Row],[Date relisting]])-Table1368[[#This Row],[Date réception Achat]])</f>
        <v>4</v>
      </c>
      <c r="AB357" s="139">
        <f>IF(ISBLANK(Table1368[[#This Row],[Date revente]]),"",IF(ISBLANK(Table1368[[#This Row],[Date revente]]),TODAY(),Table1368[[#This Row],[Date revente]])-Table1368[[#This Row],[Date relisting]])</f>
      </c>
      <c r="AC357" s="139">
        <f>IF(ISBLANK(Table1368[[#This Row],[Date revente]]),"",IF(ISBLANK(Table1368[[#This Row],[Date revente]]),TODAY(),Table1368[[#This Row],[Date revente]])-Table1368[[#This Row],[Date réception Achat]])</f>
      </c>
      <c r="AD357" s="139">
        <f>IF(ISBLANK(Table1368[[#This Row],[Date revente]]),"",IF(ISBLANK(Table1368[[#This Row],[Date revente]]),TODAY(),Table1368[[#This Row],[Date revente]])-Table1368[[#This Row],[Date achat]])</f>
      </c>
    </row>
    <row r="358" spans="1:30" x14ac:dyDescent="0.25">
      <c r="A358" s="134">
        <v>46214</v>
      </c>
      <c r="B358" s="143" t="s">
        <v>981</v>
      </c>
      <c r="C358" s="134" t="s">
        <v>982</v>
      </c>
      <c r="D358" s="156" t="s">
        <v>972</v>
      </c>
      <c r="E358" s="156"/>
      <c r="F358" s="156"/>
      <c r="G358" s="159" t="s">
        <v>163</v>
      </c>
      <c r="H358" s="155" t="s">
        <v>164</v>
      </c>
      <c r="I358" s="134" t="s">
        <v>165</v>
      </c>
      <c r="J358" s="134" t="s">
        <v>157</v>
      </c>
      <c r="K358" s="135">
        <v>12.54</v>
      </c>
      <c r="L358" s="135">
        <f>Table1368[[#This Row],[Prix total Achat]]-Table1368[[#This Row],[Prix article]]</f>
        <v>11.609236888888887</v>
      </c>
      <c r="M358" s="135">
        <v>24.149236888888886</v>
      </c>
      <c r="N358" s="134">
        <v>46226</v>
      </c>
      <c r="O358" s="136">
        <f>(Table1368[[#This Row],[Prix total Achat]]*2)</f>
        <v>48.29847377777777</v>
      </c>
      <c r="P358" s="136">
        <f>Table1368[[#This Row],[Prix Min voulu (x2 )]]*1.2</f>
        <v>57.95816853333332</v>
      </c>
      <c r="Q358" s="134">
        <v>46229</v>
      </c>
      <c r="R358" s="134"/>
      <c r="S358" s="135"/>
      <c r="T358" s="134"/>
      <c r="U358" s="134"/>
      <c r="V358" s="137">
        <f>IF(ISBLANK(Table1368[[#This Row],[Date réception Achat]]),"",IF(ISBLANK(Table1368[[#This Row],[Date revente]]),TODAY(),Table1368[[#This Row],[Date revente]])-Table1368[[#This Row],[Date réception Achat]])</f>
        <v>77</v>
      </c>
      <c r="W35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58" s="135">
        <f>IF(Table1368[[#This Row],[Prix de revente]]="","",Table1368[[#This Row],[Prix de revente]]-Table1368[[#This Row],[Prix total Achat]])</f>
      </c>
      <c r="Y358" s="138">
        <f>IF(Table1368[[#This Row],[Prix de revente]]="","",(Table1368[[#This Row],[Prix de revente]]/Table1368[[#This Row],[Prix total Achat]]))</f>
      </c>
      <c r="Z358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8" s="139">
        <f>IF(ISBLANK(Table1368[[#This Row],[Date relisting]]),"",IF(ISBLANK(Table1368[[#This Row],[Date relisting]]),TODAY(),Table1368[[#This Row],[Date relisting]])-Table1368[[#This Row],[Date réception Achat]])</f>
        <v>3</v>
      </c>
      <c r="AB358" s="139">
        <f>IF(ISBLANK(Table1368[[#This Row],[Date revente]]),"",IF(ISBLANK(Table1368[[#This Row],[Date revente]]),TODAY(),Table1368[[#This Row],[Date revente]])-Table1368[[#This Row],[Date relisting]])</f>
      </c>
      <c r="AC358" s="139">
        <f>IF(ISBLANK(Table1368[[#This Row],[Date revente]]),"",IF(ISBLANK(Table1368[[#This Row],[Date revente]]),TODAY(),Table1368[[#This Row],[Date revente]])-Table1368[[#This Row],[Date réception Achat]])</f>
      </c>
      <c r="AD358" s="139">
        <f>IF(ISBLANK(Table1368[[#This Row],[Date revente]]),"",IF(ISBLANK(Table1368[[#This Row],[Date revente]]),TODAY(),Table1368[[#This Row],[Date revente]])-Table1368[[#This Row],[Date achat]])</f>
      </c>
    </row>
    <row r="359" spans="1:30" x14ac:dyDescent="0.25">
      <c r="A359" s="134">
        <v>46214</v>
      </c>
      <c r="B359" s="143" t="s">
        <v>983</v>
      </c>
      <c r="C359" s="134" t="s">
        <v>984</v>
      </c>
      <c r="D359" s="156" t="s">
        <v>972</v>
      </c>
      <c r="E359" s="156"/>
      <c r="F359" s="156"/>
      <c r="G359" s="159" t="s">
        <v>202</v>
      </c>
      <c r="H359" s="155" t="s">
        <v>164</v>
      </c>
      <c r="I359" s="134" t="s">
        <v>165</v>
      </c>
      <c r="J359" s="134" t="s">
        <v>157</v>
      </c>
      <c r="K359" s="135">
        <v>12.1</v>
      </c>
      <c r="L359" s="135">
        <f>Table1368[[#This Row],[Prix total Achat]]-Table1368[[#This Row],[Prix article]]</f>
        <v>11.609236888888889</v>
      </c>
      <c r="M359" s="135">
        <v>23.70923688888889</v>
      </c>
      <c r="N359" s="134">
        <v>46226</v>
      </c>
      <c r="O359" s="136">
        <f>(Table1368[[#This Row],[Prix total Achat]]*2)</f>
        <v>47.41847377777778</v>
      </c>
      <c r="P359" s="136">
        <f>Table1368[[#This Row],[Prix Min voulu (x2 )]]*1.2</f>
        <v>56.90216853333333</v>
      </c>
      <c r="Q359" s="134">
        <v>46229</v>
      </c>
      <c r="R359" s="134"/>
      <c r="S359" s="135"/>
      <c r="T359" s="134"/>
      <c r="U359" s="134"/>
      <c r="V359" s="137">
        <f>IF(ISBLANK(Table1368[[#This Row],[Date réception Achat]]),"",IF(ISBLANK(Table1368[[#This Row],[Date revente]]),TODAY(),Table1368[[#This Row],[Date revente]])-Table1368[[#This Row],[Date réception Achat]])</f>
        <v>77</v>
      </c>
      <c r="W35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59" s="135">
        <f>IF(Table1368[[#This Row],[Prix de revente]]="","",Table1368[[#This Row],[Prix de revente]]-Table1368[[#This Row],[Prix total Achat]])</f>
      </c>
      <c r="Y359" s="138">
        <f>IF(Table1368[[#This Row],[Prix de revente]]="","",(Table1368[[#This Row],[Prix de revente]]/Table1368[[#This Row],[Prix total Achat]]))</f>
      </c>
      <c r="Z359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59" s="139">
        <f>IF(ISBLANK(Table1368[[#This Row],[Date relisting]]),"",IF(ISBLANK(Table1368[[#This Row],[Date relisting]]),TODAY(),Table1368[[#This Row],[Date relisting]])-Table1368[[#This Row],[Date réception Achat]])</f>
        <v>3</v>
      </c>
      <c r="AB359" s="139">
        <f>IF(ISBLANK(Table1368[[#This Row],[Date revente]]),"",IF(ISBLANK(Table1368[[#This Row],[Date revente]]),TODAY(),Table1368[[#This Row],[Date revente]])-Table1368[[#This Row],[Date relisting]])</f>
      </c>
      <c r="AC359" s="139">
        <f>IF(ISBLANK(Table1368[[#This Row],[Date revente]]),"",IF(ISBLANK(Table1368[[#This Row],[Date revente]]),TODAY(),Table1368[[#This Row],[Date revente]])-Table1368[[#This Row],[Date réception Achat]])</f>
      </c>
      <c r="AD359" s="139">
        <f>IF(ISBLANK(Table1368[[#This Row],[Date revente]]),"",IF(ISBLANK(Table1368[[#This Row],[Date revente]]),TODAY(),Table1368[[#This Row],[Date revente]])-Table1368[[#This Row],[Date achat]])</f>
      </c>
    </row>
    <row r="360" spans="1:30" x14ac:dyDescent="0.25">
      <c r="A360" s="134">
        <v>46214</v>
      </c>
      <c r="B360" s="141" t="s">
        <v>985</v>
      </c>
      <c r="C360" s="134" t="s">
        <v>986</v>
      </c>
      <c r="D360" s="156" t="s">
        <v>987</v>
      </c>
      <c r="E360" s="156">
        <v>736</v>
      </c>
      <c r="F360" s="156" t="s">
        <v>755</v>
      </c>
      <c r="G360" s="159" t="s">
        <v>177</v>
      </c>
      <c r="H360" s="155" t="s">
        <v>988</v>
      </c>
      <c r="I360" s="134" t="s">
        <v>165</v>
      </c>
      <c r="J360" s="134" t="s">
        <v>157</v>
      </c>
      <c r="K360" s="135">
        <v>27.5</v>
      </c>
      <c r="L360" s="135">
        <f>Table1368[[#This Row],[Prix total Achat]]-Table1368[[#This Row],[Prix article]]</f>
        <v>15.40953714285714</v>
      </c>
      <c r="M360" s="135">
        <v>42.90953714285714</v>
      </c>
      <c r="N360" s="134">
        <v>46298</v>
      </c>
      <c r="O360" s="136">
        <f>(Table1368[[#This Row],[Prix total Achat]]*2)</f>
        <v>85.81907428571428</v>
      </c>
      <c r="P360" s="136">
        <f>Table1368[[#This Row],[Prix Min voulu (x2 )]]*1.2</f>
        <v>102.98288914285713</v>
      </c>
      <c r="Q360" s="134">
        <v>46303</v>
      </c>
      <c r="R360" s="134"/>
      <c r="S360" s="135"/>
      <c r="T360" s="134"/>
      <c r="U360" s="134"/>
      <c r="V360" s="137">
        <f>IF(ISBLANK(Table1368[[#This Row],[Date réception Achat]]),"",IF(ISBLANK(Table1368[[#This Row],[Date revente]]),TODAY(),Table1368[[#This Row],[Date revente]])-Table1368[[#This Row],[Date réception Achat]])</f>
        <v>5</v>
      </c>
      <c r="W36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60" s="135">
        <f>IF(Table1368[[#This Row],[Prix de revente]]="","",Table1368[[#This Row],[Prix de revente]]-Table1368[[#This Row],[Prix total Achat]])</f>
      </c>
      <c r="Y360" s="138">
        <f>IF(Table1368[[#This Row],[Prix de revente]]="","",(Table1368[[#This Row],[Prix de revente]]/Table1368[[#This Row],[Prix total Achat]]))</f>
      </c>
      <c r="Z360" s="139">
        <f>IF(ISBLANK(Table1368[[#This Row],[Date réception Achat]]),"",IF(ISBLANK(Table1368[[#This Row],[Date réception Achat]]),TODAY(),Table1368[[#This Row],[Date réception Achat]])-Table1368[[#This Row],[Date achat]])</f>
        <v>84</v>
      </c>
      <c r="AA360" s="139">
        <f>IF(ISBLANK(Table1368[[#This Row],[Date relisting]]),"",IF(ISBLANK(Table1368[[#This Row],[Date relisting]]),TODAY(),Table1368[[#This Row],[Date relisting]])-Table1368[[#This Row],[Date réception Achat]])</f>
        <v>5</v>
      </c>
      <c r="AB360" s="139">
        <f>IF(ISBLANK(Table1368[[#This Row],[Date revente]]),"",IF(ISBLANK(Table1368[[#This Row],[Date revente]]),TODAY(),Table1368[[#This Row],[Date revente]])-Table1368[[#This Row],[Date relisting]])</f>
      </c>
      <c r="AC360" s="139">
        <f>IF(ISBLANK(Table1368[[#This Row],[Date revente]]),"",IF(ISBLANK(Table1368[[#This Row],[Date revente]]),TODAY(),Table1368[[#This Row],[Date revente]])-Table1368[[#This Row],[Date réception Achat]])</f>
      </c>
      <c r="AD360" s="139">
        <f>IF(ISBLANK(Table1368[[#This Row],[Date revente]]),"",IF(ISBLANK(Table1368[[#This Row],[Date revente]]),TODAY(),Table1368[[#This Row],[Date revente]])-Table1368[[#This Row],[Date achat]])</f>
      </c>
    </row>
    <row r="361" spans="1:30" x14ac:dyDescent="0.25">
      <c r="A361" s="134">
        <v>46214</v>
      </c>
      <c r="B361" s="141" t="s">
        <v>989</v>
      </c>
      <c r="C361" s="134" t="s">
        <v>990</v>
      </c>
      <c r="D361" s="156" t="s">
        <v>987</v>
      </c>
      <c r="E361" s="156">
        <v>864</v>
      </c>
      <c r="F361" s="156" t="s">
        <v>309</v>
      </c>
      <c r="G361" s="159" t="s">
        <v>825</v>
      </c>
      <c r="H361" s="155" t="s">
        <v>991</v>
      </c>
      <c r="I361" s="134" t="s">
        <v>165</v>
      </c>
      <c r="J361" s="134" t="s">
        <v>157</v>
      </c>
      <c r="K361" s="135">
        <v>19.25</v>
      </c>
      <c r="L361" s="135">
        <f>Table1368[[#This Row],[Prix total Achat]]-Table1368[[#This Row],[Prix article]]</f>
        <v>15.40953714285714</v>
      </c>
      <c r="M361" s="135">
        <v>34.65953714285714</v>
      </c>
      <c r="N361" s="134">
        <v>46298</v>
      </c>
      <c r="O361" s="136">
        <f>(Table1368[[#This Row],[Prix total Achat]]*2)</f>
        <v>69.31907428571428</v>
      </c>
      <c r="P361" s="136">
        <f>Table1368[[#This Row],[Prix Min voulu (x2 )]]*1.2</f>
        <v>83.18288914285714</v>
      </c>
      <c r="Q361" s="134">
        <v>46303</v>
      </c>
      <c r="R361" s="134"/>
      <c r="S361" s="135"/>
      <c r="T361" s="134"/>
      <c r="U361" s="134"/>
      <c r="V361" s="137">
        <f>IF(ISBLANK(Table1368[[#This Row],[Date réception Achat]]),"",IF(ISBLANK(Table1368[[#This Row],[Date revente]]),TODAY(),Table1368[[#This Row],[Date revente]])-Table1368[[#This Row],[Date réception Achat]])</f>
        <v>5</v>
      </c>
      <c r="W36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61" s="135">
        <f>IF(Table1368[[#This Row],[Prix de revente]]="","",Table1368[[#This Row],[Prix de revente]]-Table1368[[#This Row],[Prix total Achat]])</f>
      </c>
      <c r="Y361" s="138">
        <f>IF(Table1368[[#This Row],[Prix de revente]]="","",(Table1368[[#This Row],[Prix de revente]]/Table1368[[#This Row],[Prix total Achat]]))</f>
      </c>
      <c r="Z361" s="139">
        <f>IF(ISBLANK(Table1368[[#This Row],[Date réception Achat]]),"",IF(ISBLANK(Table1368[[#This Row],[Date réception Achat]]),TODAY(),Table1368[[#This Row],[Date réception Achat]])-Table1368[[#This Row],[Date achat]])</f>
        <v>84</v>
      </c>
      <c r="AA361" s="139">
        <f>IF(ISBLANK(Table1368[[#This Row],[Date relisting]]),"",IF(ISBLANK(Table1368[[#This Row],[Date relisting]]),TODAY(),Table1368[[#This Row],[Date relisting]])-Table1368[[#This Row],[Date réception Achat]])</f>
        <v>5</v>
      </c>
      <c r="AB361" s="139">
        <f>IF(ISBLANK(Table1368[[#This Row],[Date revente]]),"",IF(ISBLANK(Table1368[[#This Row],[Date revente]]),TODAY(),Table1368[[#This Row],[Date revente]])-Table1368[[#This Row],[Date relisting]])</f>
      </c>
      <c r="AC361" s="139">
        <f>IF(ISBLANK(Table1368[[#This Row],[Date revente]]),"",IF(ISBLANK(Table1368[[#This Row],[Date revente]]),TODAY(),Table1368[[#This Row],[Date revente]])-Table1368[[#This Row],[Date réception Achat]])</f>
      </c>
      <c r="AD361" s="139">
        <f>IF(ISBLANK(Table1368[[#This Row],[Date revente]]),"",IF(ISBLANK(Table1368[[#This Row],[Date revente]]),TODAY(),Table1368[[#This Row],[Date revente]])-Table1368[[#This Row],[Date achat]])</f>
      </c>
    </row>
    <row r="362" spans="1:30" x14ac:dyDescent="0.25">
      <c r="A362" s="134">
        <v>46214</v>
      </c>
      <c r="B362" s="141" t="s">
        <v>992</v>
      </c>
      <c r="C362" s="134" t="s">
        <v>993</v>
      </c>
      <c r="D362" s="156" t="s">
        <v>987</v>
      </c>
      <c r="E362" s="156">
        <v>550</v>
      </c>
      <c r="F362" s="156" t="s">
        <v>755</v>
      </c>
      <c r="G362" s="159" t="s">
        <v>386</v>
      </c>
      <c r="H362" s="155" t="s">
        <v>174</v>
      </c>
      <c r="I362" s="134" t="s">
        <v>165</v>
      </c>
      <c r="J362" s="134" t="s">
        <v>157</v>
      </c>
      <c r="K362" s="135">
        <v>18.7</v>
      </c>
      <c r="L362" s="135">
        <f>Table1368[[#This Row],[Prix total Achat]]-Table1368[[#This Row],[Prix article]]</f>
        <v>15.409537142857143</v>
      </c>
      <c r="M362" s="135">
        <v>34.10953714285714</v>
      </c>
      <c r="N362" s="134">
        <v>46298</v>
      </c>
      <c r="O362" s="136">
        <f>(Table1368[[#This Row],[Prix total Achat]]*2)</f>
        <v>68.21907428571429</v>
      </c>
      <c r="P362" s="136">
        <f>Table1368[[#This Row],[Prix Min voulu (x2 )]]*1.2</f>
        <v>81.86288914285714</v>
      </c>
      <c r="Q362" s="134">
        <v>46303</v>
      </c>
      <c r="R362" s="134"/>
      <c r="S362" s="135"/>
      <c r="T362" s="134"/>
      <c r="U362" s="134"/>
      <c r="V362" s="137">
        <f>IF(ISBLANK(Table1368[[#This Row],[Date réception Achat]]),"",IF(ISBLANK(Table1368[[#This Row],[Date revente]]),TODAY(),Table1368[[#This Row],[Date revente]])-Table1368[[#This Row],[Date réception Achat]])</f>
        <v>5</v>
      </c>
      <c r="W36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62" s="135">
        <f>IF(Table1368[[#This Row],[Prix de revente]]="","",Table1368[[#This Row],[Prix de revente]]-Table1368[[#This Row],[Prix total Achat]])</f>
      </c>
      <c r="Y362" s="138">
        <f>IF(Table1368[[#This Row],[Prix de revente]]="","",(Table1368[[#This Row],[Prix de revente]]/Table1368[[#This Row],[Prix total Achat]]))</f>
      </c>
      <c r="Z362" s="139">
        <f>IF(ISBLANK(Table1368[[#This Row],[Date réception Achat]]),"",IF(ISBLANK(Table1368[[#This Row],[Date réception Achat]]),TODAY(),Table1368[[#This Row],[Date réception Achat]])-Table1368[[#This Row],[Date achat]])</f>
        <v>84</v>
      </c>
      <c r="AA362" s="139">
        <f>IF(ISBLANK(Table1368[[#This Row],[Date relisting]]),"",IF(ISBLANK(Table1368[[#This Row],[Date relisting]]),TODAY(),Table1368[[#This Row],[Date relisting]])-Table1368[[#This Row],[Date réception Achat]])</f>
        <v>5</v>
      </c>
      <c r="AB362" s="139">
        <f>IF(ISBLANK(Table1368[[#This Row],[Date revente]]),"",IF(ISBLANK(Table1368[[#This Row],[Date revente]]),TODAY(),Table1368[[#This Row],[Date revente]])-Table1368[[#This Row],[Date relisting]])</f>
      </c>
      <c r="AC362" s="139">
        <f>IF(ISBLANK(Table1368[[#This Row],[Date revente]]),"",IF(ISBLANK(Table1368[[#This Row],[Date revente]]),TODAY(),Table1368[[#This Row],[Date revente]])-Table1368[[#This Row],[Date réception Achat]])</f>
      </c>
      <c r="AD362" s="139">
        <f>IF(ISBLANK(Table1368[[#This Row],[Date revente]]),"",IF(ISBLANK(Table1368[[#This Row],[Date revente]]),TODAY(),Table1368[[#This Row],[Date revente]])-Table1368[[#This Row],[Date achat]])</f>
      </c>
    </row>
    <row r="363" spans="1:30" x14ac:dyDescent="0.25">
      <c r="A363" s="134">
        <v>46214</v>
      </c>
      <c r="B363" s="143" t="s">
        <v>994</v>
      </c>
      <c r="C363" s="134" t="s">
        <v>995</v>
      </c>
      <c r="D363" s="156" t="s">
        <v>987</v>
      </c>
      <c r="E363" s="156">
        <v>846</v>
      </c>
      <c r="F363" s="156" t="s">
        <v>309</v>
      </c>
      <c r="G363" s="159" t="s">
        <v>825</v>
      </c>
      <c r="H363" s="155" t="s">
        <v>810</v>
      </c>
      <c r="I363" s="134" t="s">
        <v>165</v>
      </c>
      <c r="J363" s="134" t="s">
        <v>157</v>
      </c>
      <c r="K363" s="135">
        <v>27.5</v>
      </c>
      <c r="L363" s="135">
        <f>Table1368[[#This Row],[Prix total Achat]]-Table1368[[#This Row],[Prix article]]</f>
        <v>15.40953714285714</v>
      </c>
      <c r="M363" s="135">
        <v>42.90953714285714</v>
      </c>
      <c r="N363" s="134">
        <v>46298</v>
      </c>
      <c r="O363" s="136">
        <f>(Table1368[[#This Row],[Prix total Achat]]*2)</f>
        <v>85.81907428571428</v>
      </c>
      <c r="P363" s="136">
        <f>Table1368[[#This Row],[Prix Min voulu (x2 )]]*1.2</f>
        <v>102.98288914285713</v>
      </c>
      <c r="Q363" s="134">
        <v>46303</v>
      </c>
      <c r="R363" s="134"/>
      <c r="S363" s="135"/>
      <c r="T363" s="134"/>
      <c r="U363" s="134"/>
      <c r="V363" s="137">
        <f>IF(ISBLANK(Table1368[[#This Row],[Date réception Achat]]),"",IF(ISBLANK(Table1368[[#This Row],[Date revente]]),TODAY(),Table1368[[#This Row],[Date revente]])-Table1368[[#This Row],[Date réception Achat]])</f>
        <v>5</v>
      </c>
      <c r="W36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63" s="135">
        <f>IF(Table1368[[#This Row],[Prix de revente]]="","",Table1368[[#This Row],[Prix de revente]]-Table1368[[#This Row],[Prix total Achat]])</f>
      </c>
      <c r="Y363" s="138">
        <f>IF(Table1368[[#This Row],[Prix de revente]]="","",(Table1368[[#This Row],[Prix de revente]]/Table1368[[#This Row],[Prix total Achat]]))</f>
      </c>
      <c r="Z363" s="139">
        <f>IF(ISBLANK(Table1368[[#This Row],[Date réception Achat]]),"",IF(ISBLANK(Table1368[[#This Row],[Date réception Achat]]),TODAY(),Table1368[[#This Row],[Date réception Achat]])-Table1368[[#This Row],[Date achat]])</f>
        <v>84</v>
      </c>
      <c r="AA363" s="139">
        <f>IF(ISBLANK(Table1368[[#This Row],[Date relisting]]),"",IF(ISBLANK(Table1368[[#This Row],[Date relisting]]),TODAY(),Table1368[[#This Row],[Date relisting]])-Table1368[[#This Row],[Date réception Achat]])</f>
        <v>5</v>
      </c>
      <c r="AB363" s="139">
        <f>IF(ISBLANK(Table1368[[#This Row],[Date revente]]),"",IF(ISBLANK(Table1368[[#This Row],[Date revente]]),TODAY(),Table1368[[#This Row],[Date revente]])-Table1368[[#This Row],[Date relisting]])</f>
      </c>
      <c r="AC363" s="139">
        <f>IF(ISBLANK(Table1368[[#This Row],[Date revente]]),"",IF(ISBLANK(Table1368[[#This Row],[Date revente]]),TODAY(),Table1368[[#This Row],[Date revente]])-Table1368[[#This Row],[Date réception Achat]])</f>
      </c>
      <c r="AD363" s="139">
        <f>IF(ISBLANK(Table1368[[#This Row],[Date revente]]),"",IF(ISBLANK(Table1368[[#This Row],[Date revente]]),TODAY(),Table1368[[#This Row],[Date revente]])-Table1368[[#This Row],[Date achat]])</f>
      </c>
    </row>
    <row r="364" spans="1:30" x14ac:dyDescent="0.25">
      <c r="A364" s="134">
        <v>46214</v>
      </c>
      <c r="B364" s="143" t="s">
        <v>996</v>
      </c>
      <c r="C364" s="134" t="s">
        <v>997</v>
      </c>
      <c r="D364" s="156" t="s">
        <v>987</v>
      </c>
      <c r="E364" s="156">
        <v>612</v>
      </c>
      <c r="F364" s="156" t="s">
        <v>755</v>
      </c>
      <c r="G364" s="159" t="s">
        <v>386</v>
      </c>
      <c r="H364" s="155" t="s">
        <v>998</v>
      </c>
      <c r="I364" s="134" t="s">
        <v>165</v>
      </c>
      <c r="J364" s="134" t="s">
        <v>157</v>
      </c>
      <c r="K364" s="135">
        <v>16.5</v>
      </c>
      <c r="L364" s="135">
        <f>Table1368[[#This Row],[Prix total Achat]]-Table1368[[#This Row],[Prix article]]</f>
        <v>15.40953714285714</v>
      </c>
      <c r="M364" s="135">
        <v>31.90953714285714</v>
      </c>
      <c r="N364" s="134">
        <v>46298</v>
      </c>
      <c r="O364" s="136">
        <f>(Table1368[[#This Row],[Prix total Achat]]*2)</f>
        <v>63.81907428571428</v>
      </c>
      <c r="P364" s="136">
        <f>Table1368[[#This Row],[Prix Min voulu (x2 )]]*1.2</f>
        <v>76.58288914285713</v>
      </c>
      <c r="Q364" s="134">
        <v>46303</v>
      </c>
      <c r="R364" s="134"/>
      <c r="S364" s="135"/>
      <c r="T364" s="134"/>
      <c r="U364" s="134"/>
      <c r="V364" s="137">
        <f>IF(ISBLANK(Table1368[[#This Row],[Date réception Achat]]),"",IF(ISBLANK(Table1368[[#This Row],[Date revente]]),TODAY(),Table1368[[#This Row],[Date revente]])-Table1368[[#This Row],[Date réception Achat]])</f>
        <v>5</v>
      </c>
      <c r="W36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64" s="135">
        <f>IF(Table1368[[#This Row],[Prix de revente]]="","",Table1368[[#This Row],[Prix de revente]]-Table1368[[#This Row],[Prix total Achat]])</f>
      </c>
      <c r="Y364" s="138">
        <f>IF(Table1368[[#This Row],[Prix de revente]]="","",(Table1368[[#This Row],[Prix de revente]]/Table1368[[#This Row],[Prix total Achat]]))</f>
      </c>
      <c r="Z364" s="139">
        <f>IF(ISBLANK(Table1368[[#This Row],[Date réception Achat]]),"",IF(ISBLANK(Table1368[[#This Row],[Date réception Achat]]),TODAY(),Table1368[[#This Row],[Date réception Achat]])-Table1368[[#This Row],[Date achat]])</f>
        <v>84</v>
      </c>
      <c r="AA364" s="139">
        <f>IF(ISBLANK(Table1368[[#This Row],[Date relisting]]),"",IF(ISBLANK(Table1368[[#This Row],[Date relisting]]),TODAY(),Table1368[[#This Row],[Date relisting]])-Table1368[[#This Row],[Date réception Achat]])</f>
        <v>5</v>
      </c>
      <c r="AB364" s="139">
        <f>IF(ISBLANK(Table1368[[#This Row],[Date revente]]),"",IF(ISBLANK(Table1368[[#This Row],[Date revente]]),TODAY(),Table1368[[#This Row],[Date revente]])-Table1368[[#This Row],[Date relisting]])</f>
      </c>
      <c r="AC364" s="139">
        <f>IF(ISBLANK(Table1368[[#This Row],[Date revente]]),"",IF(ISBLANK(Table1368[[#This Row],[Date revente]]),TODAY(),Table1368[[#This Row],[Date revente]])-Table1368[[#This Row],[Date réception Achat]])</f>
      </c>
      <c r="AD364" s="139">
        <f>IF(ISBLANK(Table1368[[#This Row],[Date revente]]),"",IF(ISBLANK(Table1368[[#This Row],[Date revente]]),TODAY(),Table1368[[#This Row],[Date revente]])-Table1368[[#This Row],[Date achat]])</f>
      </c>
    </row>
    <row r="365" spans="1:30" x14ac:dyDescent="0.25">
      <c r="A365" s="134">
        <v>46214</v>
      </c>
      <c r="B365" s="143" t="s">
        <v>999</v>
      </c>
      <c r="C365" s="134" t="s">
        <v>1000</v>
      </c>
      <c r="D365" s="156" t="s">
        <v>987</v>
      </c>
      <c r="E365" s="156">
        <v>546</v>
      </c>
      <c r="F365" s="156" t="s">
        <v>755</v>
      </c>
      <c r="G365" s="159" t="s">
        <v>163</v>
      </c>
      <c r="H365" s="155" t="s">
        <v>178</v>
      </c>
      <c r="I365" s="134" t="s">
        <v>165</v>
      </c>
      <c r="J365" s="134" t="s">
        <v>157</v>
      </c>
      <c r="K365" s="135">
        <v>16.5</v>
      </c>
      <c r="L365" s="135">
        <f>Table1368[[#This Row],[Prix total Achat]]-Table1368[[#This Row],[Prix article]]</f>
        <v>15.40953714285714</v>
      </c>
      <c r="M365" s="135">
        <v>31.90953714285714</v>
      </c>
      <c r="N365" s="134">
        <v>46298</v>
      </c>
      <c r="O365" s="136">
        <f>(Table1368[[#This Row],[Prix total Achat]]*2)</f>
        <v>63.81907428571428</v>
      </c>
      <c r="P365" s="136">
        <f>Table1368[[#This Row],[Prix Min voulu (x2 )]]*1.2</f>
        <v>76.58288914285713</v>
      </c>
      <c r="Q365" s="134">
        <v>46303</v>
      </c>
      <c r="R365" s="134"/>
      <c r="S365" s="135"/>
      <c r="T365" s="134"/>
      <c r="U365" s="134"/>
      <c r="V365" s="137">
        <f>IF(ISBLANK(Table1368[[#This Row],[Date réception Achat]]),"",IF(ISBLANK(Table1368[[#This Row],[Date revente]]),TODAY(),Table1368[[#This Row],[Date revente]])-Table1368[[#This Row],[Date réception Achat]])</f>
        <v>5</v>
      </c>
      <c r="W36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65" s="135">
        <f>IF(Table1368[[#This Row],[Prix de revente]]="","",Table1368[[#This Row],[Prix de revente]]-Table1368[[#This Row],[Prix total Achat]])</f>
      </c>
      <c r="Y365" s="138">
        <f>IF(Table1368[[#This Row],[Prix de revente]]="","",(Table1368[[#This Row],[Prix de revente]]/Table1368[[#This Row],[Prix total Achat]]))</f>
      </c>
      <c r="Z365" s="139">
        <f>IF(ISBLANK(Table1368[[#This Row],[Date réception Achat]]),"",IF(ISBLANK(Table1368[[#This Row],[Date réception Achat]]),TODAY(),Table1368[[#This Row],[Date réception Achat]])-Table1368[[#This Row],[Date achat]])</f>
        <v>84</v>
      </c>
      <c r="AA365" s="139">
        <f>IF(ISBLANK(Table1368[[#This Row],[Date relisting]]),"",IF(ISBLANK(Table1368[[#This Row],[Date relisting]]),TODAY(),Table1368[[#This Row],[Date relisting]])-Table1368[[#This Row],[Date réception Achat]])</f>
        <v>5</v>
      </c>
      <c r="AB365" s="139">
        <f>IF(ISBLANK(Table1368[[#This Row],[Date revente]]),"",IF(ISBLANK(Table1368[[#This Row],[Date revente]]),TODAY(),Table1368[[#This Row],[Date revente]])-Table1368[[#This Row],[Date relisting]])</f>
      </c>
      <c r="AC365" s="139">
        <f>IF(ISBLANK(Table1368[[#This Row],[Date revente]]),"",IF(ISBLANK(Table1368[[#This Row],[Date revente]]),TODAY(),Table1368[[#This Row],[Date revente]])-Table1368[[#This Row],[Date réception Achat]])</f>
      </c>
      <c r="AD365" s="139">
        <f>IF(ISBLANK(Table1368[[#This Row],[Date revente]]),"",IF(ISBLANK(Table1368[[#This Row],[Date revente]]),TODAY(),Table1368[[#This Row],[Date revente]])-Table1368[[#This Row],[Date achat]])</f>
      </c>
    </row>
    <row r="366" spans="1:30" x14ac:dyDescent="0.25">
      <c r="A366" s="134">
        <v>46214</v>
      </c>
      <c r="B366" s="143" t="s">
        <v>1001</v>
      </c>
      <c r="C366" s="134" t="s">
        <v>1002</v>
      </c>
      <c r="D366" s="156" t="s">
        <v>987</v>
      </c>
      <c r="E366" s="156">
        <v>714</v>
      </c>
      <c r="F366" s="156" t="s">
        <v>755</v>
      </c>
      <c r="G366" s="159" t="s">
        <v>386</v>
      </c>
      <c r="H366" s="155" t="s">
        <v>174</v>
      </c>
      <c r="I366" s="134" t="s">
        <v>165</v>
      </c>
      <c r="J366" s="134" t="s">
        <v>157</v>
      </c>
      <c r="K366" s="135">
        <v>18.04</v>
      </c>
      <c r="L366" s="135">
        <f>Table1368[[#This Row],[Prix total Achat]]-Table1368[[#This Row],[Prix article]]</f>
        <v>15.40953714285714</v>
      </c>
      <c r="M366" s="135">
        <v>33.44953714285714</v>
      </c>
      <c r="N366" s="134">
        <v>46298</v>
      </c>
      <c r="O366" s="136">
        <f>(Table1368[[#This Row],[Prix total Achat]]*2)</f>
        <v>66.89907428571428</v>
      </c>
      <c r="P366" s="136">
        <f>Table1368[[#This Row],[Prix Min voulu (x2 )]]*1.2</f>
        <v>80.27888914285712</v>
      </c>
      <c r="Q366" s="134">
        <v>46303</v>
      </c>
      <c r="R366" s="134"/>
      <c r="S366" s="135"/>
      <c r="T366" s="134"/>
      <c r="U366" s="134"/>
      <c r="V366" s="137">
        <f>IF(ISBLANK(Table1368[[#This Row],[Date réception Achat]]),"",IF(ISBLANK(Table1368[[#This Row],[Date revente]]),TODAY(),Table1368[[#This Row],[Date revente]])-Table1368[[#This Row],[Date réception Achat]])</f>
        <v>5</v>
      </c>
      <c r="W36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66" s="135">
        <f>IF(Table1368[[#This Row],[Prix de revente]]="","",Table1368[[#This Row],[Prix de revente]]-Table1368[[#This Row],[Prix total Achat]])</f>
      </c>
      <c r="Y366" s="138">
        <f>IF(Table1368[[#This Row],[Prix de revente]]="","",(Table1368[[#This Row],[Prix de revente]]/Table1368[[#This Row],[Prix total Achat]]))</f>
      </c>
      <c r="Z366" s="139">
        <f>IF(ISBLANK(Table1368[[#This Row],[Date réception Achat]]),"",IF(ISBLANK(Table1368[[#This Row],[Date réception Achat]]),TODAY(),Table1368[[#This Row],[Date réception Achat]])-Table1368[[#This Row],[Date achat]])</f>
        <v>84</v>
      </c>
      <c r="AA366" s="139">
        <f>IF(ISBLANK(Table1368[[#This Row],[Date relisting]]),"",IF(ISBLANK(Table1368[[#This Row],[Date relisting]]),TODAY(),Table1368[[#This Row],[Date relisting]])-Table1368[[#This Row],[Date réception Achat]])</f>
        <v>5</v>
      </c>
      <c r="AB366" s="139">
        <f>IF(ISBLANK(Table1368[[#This Row],[Date revente]]),"",IF(ISBLANK(Table1368[[#This Row],[Date revente]]),TODAY(),Table1368[[#This Row],[Date revente]])-Table1368[[#This Row],[Date relisting]])</f>
      </c>
      <c r="AC366" s="139">
        <f>IF(ISBLANK(Table1368[[#This Row],[Date revente]]),"",IF(ISBLANK(Table1368[[#This Row],[Date revente]]),TODAY(),Table1368[[#This Row],[Date revente]])-Table1368[[#This Row],[Date réception Achat]])</f>
      </c>
      <c r="AD366" s="139">
        <f>IF(ISBLANK(Table1368[[#This Row],[Date revente]]),"",IF(ISBLANK(Table1368[[#This Row],[Date revente]]),TODAY(),Table1368[[#This Row],[Date revente]])-Table1368[[#This Row],[Date achat]])</f>
      </c>
    </row>
    <row r="367" spans="1:30" x14ac:dyDescent="0.25">
      <c r="A367" s="134">
        <v>46220</v>
      </c>
      <c r="B367" s="141" t="s">
        <v>1003</v>
      </c>
      <c r="C367" s="134" t="s">
        <v>1004</v>
      </c>
      <c r="D367" s="156" t="s">
        <v>157</v>
      </c>
      <c r="E367" s="156"/>
      <c r="F367" s="156"/>
      <c r="G367" s="134" t="s">
        <v>228</v>
      </c>
      <c r="H367" s="127" t="s">
        <v>178</v>
      </c>
      <c r="I367" s="134" t="s">
        <v>160</v>
      </c>
      <c r="J367" s="134" t="s">
        <v>157</v>
      </c>
      <c r="K367" s="135">
        <v>8</v>
      </c>
      <c r="L367" s="135">
        <f>Table1368[[#This Row],[Prix total Achat]]-Table1368[[#This Row],[Prix article]]</f>
        <v>3.9299999999999997</v>
      </c>
      <c r="M367" s="135">
        <v>11.93</v>
      </c>
      <c r="N367" s="134">
        <v>46227</v>
      </c>
      <c r="O367" s="136">
        <f>(Table1368[[#This Row],[Prix total Achat]]*2)</f>
        <v>23.86</v>
      </c>
      <c r="P367" s="136">
        <f>Table1368[[#This Row],[Prix Min voulu (x2 )]]*1.2</f>
        <v>28.631999999999998</v>
      </c>
      <c r="Q367" s="134">
        <v>46275</v>
      </c>
      <c r="R367" s="134">
        <v>46297</v>
      </c>
      <c r="S367" s="135">
        <v>65</v>
      </c>
      <c r="T367" s="134" t="s">
        <v>160</v>
      </c>
      <c r="U367" s="134" t="s">
        <v>157</v>
      </c>
      <c r="V367" s="137">
        <f>IF(ISBLANK(Table1368[[#This Row],[Date réception Achat]]),"",IF(ISBLANK(Table1368[[#This Row],[Date revente]]),TODAY(),Table1368[[#This Row],[Date revente]])-Table1368[[#This Row],[Date réception Achat]])</f>
        <v>70</v>
      </c>
      <c r="W36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67" s="135">
        <f>IF(Table1368[[#This Row],[Prix de revente]]="","",Table1368[[#This Row],[Prix de revente]]-Table1368[[#This Row],[Prix total Achat]])</f>
        <v>53.07</v>
      </c>
      <c r="Y367" s="138">
        <f>IF(Table1368[[#This Row],[Prix de revente]]="","",(Table1368[[#This Row],[Prix de revente]]/Table1368[[#This Row],[Prix total Achat]]))</f>
        <v>5.448449287510478</v>
      </c>
      <c r="Z367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67" s="139">
        <f>IF(ISBLANK(Table1368[[#This Row],[Date relisting]]),"",IF(ISBLANK(Table1368[[#This Row],[Date relisting]]),TODAY(),Table1368[[#This Row],[Date relisting]])-Table1368[[#This Row],[Date réception Achat]])</f>
        <v>48</v>
      </c>
      <c r="AB367" s="139">
        <f>IF(ISBLANK(Table1368[[#This Row],[Date revente]]),"",IF(ISBLANK(Table1368[[#This Row],[Date revente]]),TODAY(),Table1368[[#This Row],[Date revente]])-Table1368[[#This Row],[Date relisting]])</f>
        <v>22</v>
      </c>
      <c r="AC367" s="139">
        <f>IF(ISBLANK(Table1368[[#This Row],[Date revente]]),"",IF(ISBLANK(Table1368[[#This Row],[Date revente]]),TODAY(),Table1368[[#This Row],[Date revente]])-Table1368[[#This Row],[Date réception Achat]])</f>
        <v>70</v>
      </c>
      <c r="AD367" s="139">
        <f>IF(ISBLANK(Table1368[[#This Row],[Date revente]]),"",IF(ISBLANK(Table1368[[#This Row],[Date revente]]),TODAY(),Table1368[[#This Row],[Date revente]])-Table1368[[#This Row],[Date achat]])</f>
        <v>77</v>
      </c>
    </row>
    <row r="368" spans="1:30" x14ac:dyDescent="0.25">
      <c r="A368" s="134">
        <v>46220</v>
      </c>
      <c r="B368" s="141" t="s">
        <v>1005</v>
      </c>
      <c r="C368" s="134" t="s">
        <v>1006</v>
      </c>
      <c r="D368" s="156" t="s">
        <v>157</v>
      </c>
      <c r="E368" s="156"/>
      <c r="F368" s="156"/>
      <c r="G368" s="134" t="s">
        <v>1007</v>
      </c>
      <c r="H368" s="127" t="s">
        <v>164</v>
      </c>
      <c r="I368" s="134" t="s">
        <v>160</v>
      </c>
      <c r="J368" s="134" t="s">
        <v>157</v>
      </c>
      <c r="K368" s="135">
        <v>9</v>
      </c>
      <c r="L368" s="135">
        <f>Table1368[[#This Row],[Prix total Achat]]-Table1368[[#This Row],[Prix article]]</f>
        <v>5.539999999999999</v>
      </c>
      <c r="M368" s="135">
        <v>14.54</v>
      </c>
      <c r="N368" s="134">
        <v>46227</v>
      </c>
      <c r="O368" s="136">
        <f>(Table1368[[#This Row],[Prix total Achat]]*2)</f>
        <v>29.08</v>
      </c>
      <c r="P368" s="136">
        <f>Table1368[[#This Row],[Prix Min voulu (x2 )]]*1.2</f>
        <v>34.895999999999994</v>
      </c>
      <c r="Q368" s="134">
        <v>46229</v>
      </c>
      <c r="R368" s="134"/>
      <c r="S368" s="135"/>
      <c r="T368" s="134"/>
      <c r="U368" s="134"/>
      <c r="V368" s="137">
        <f>IF(ISBLANK(Table1368[[#This Row],[Date réception Achat]]),"",IF(ISBLANK(Table1368[[#This Row],[Date revente]]),TODAY(),Table1368[[#This Row],[Date revente]])-Table1368[[#This Row],[Date réception Achat]])</f>
        <v>76</v>
      </c>
      <c r="W36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68" s="135">
        <f>IF(Table1368[[#This Row],[Prix de revente]]="","",Table1368[[#This Row],[Prix de revente]]-Table1368[[#This Row],[Prix total Achat]])</f>
      </c>
      <c r="Y368" s="138">
        <f>IF(Table1368[[#This Row],[Prix de revente]]="","",(Table1368[[#This Row],[Prix de revente]]/Table1368[[#This Row],[Prix total Achat]]))</f>
      </c>
      <c r="Z368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68" s="139">
        <f>IF(ISBLANK(Table1368[[#This Row],[Date relisting]]),"",IF(ISBLANK(Table1368[[#This Row],[Date relisting]]),TODAY(),Table1368[[#This Row],[Date relisting]])-Table1368[[#This Row],[Date réception Achat]])</f>
        <v>2</v>
      </c>
      <c r="AB368" s="139">
        <f>IF(ISBLANK(Table1368[[#This Row],[Date revente]]),"",IF(ISBLANK(Table1368[[#This Row],[Date revente]]),TODAY(),Table1368[[#This Row],[Date revente]])-Table1368[[#This Row],[Date relisting]])</f>
      </c>
      <c r="AC368" s="139">
        <f>IF(ISBLANK(Table1368[[#This Row],[Date revente]]),"",IF(ISBLANK(Table1368[[#This Row],[Date revente]]),TODAY(),Table1368[[#This Row],[Date revente]])-Table1368[[#This Row],[Date réception Achat]])</f>
      </c>
      <c r="AD368" s="139">
        <f>IF(ISBLANK(Table1368[[#This Row],[Date revente]]),"",IF(ISBLANK(Table1368[[#This Row],[Date revente]]),TODAY(),Table1368[[#This Row],[Date revente]])-Table1368[[#This Row],[Date achat]])</f>
      </c>
    </row>
    <row r="369" spans="1:30" x14ac:dyDescent="0.25">
      <c r="A369" s="134">
        <v>46224</v>
      </c>
      <c r="B369" s="141" t="s">
        <v>1008</v>
      </c>
      <c r="C369" s="134" t="s">
        <v>1009</v>
      </c>
      <c r="D369" s="156" t="s">
        <v>1010</v>
      </c>
      <c r="E369" s="156"/>
      <c r="F369" s="156"/>
      <c r="G369" s="159" t="s">
        <v>163</v>
      </c>
      <c r="H369" s="155" t="s">
        <v>178</v>
      </c>
      <c r="I369" s="134" t="s">
        <v>165</v>
      </c>
      <c r="J369" s="134" t="s">
        <v>157</v>
      </c>
      <c r="K369" s="135">
        <v>13.75</v>
      </c>
      <c r="L369" s="135">
        <f>Table1368[[#This Row],[Prix total Achat]]-Table1368[[#This Row],[Prix article]]</f>
        <v>20.09767142857143</v>
      </c>
      <c r="M369" s="135">
        <v>33.84767142857143</v>
      </c>
      <c r="N369" s="134"/>
      <c r="O369" s="136">
        <f>(Table1368[[#This Row],[Prix total Achat]]*2)</f>
        <v>67.69534285714286</v>
      </c>
      <c r="P369" s="136">
        <f>Table1368[[#This Row],[Prix Min voulu (x2 )]]*1.2</f>
        <v>81.23441142857143</v>
      </c>
      <c r="Q369" s="134"/>
      <c r="R369" s="134"/>
      <c r="S369" s="135"/>
      <c r="T369" s="134"/>
      <c r="U369" s="134"/>
      <c r="V369" s="137">
        <f>IF(ISBLANK(Table1368[[#This Row],[Date réception Achat]]),"",IF(ISBLANK(Table1368[[#This Row],[Date revente]]),TODAY(),Table1368[[#This Row],[Date revente]])-Table1368[[#This Row],[Date réception Achat]])</f>
      </c>
      <c r="W36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69" s="135">
        <f>IF(Table1368[[#This Row],[Prix de revente]]="","",Table1368[[#This Row],[Prix de revente]]-Table1368[[#This Row],[Prix total Achat]])</f>
      </c>
      <c r="Y369" s="138">
        <f>IF(Table1368[[#This Row],[Prix de revente]]="","",(Table1368[[#This Row],[Prix de revente]]/Table1368[[#This Row],[Prix total Achat]]))</f>
      </c>
      <c r="Z369" s="139">
        <f>IF(ISBLANK(Table1368[[#This Row],[Date réception Achat]]),"",IF(ISBLANK(Table1368[[#This Row],[Date réception Achat]]),TODAY(),Table1368[[#This Row],[Date réception Achat]])-Table1368[[#This Row],[Date achat]])</f>
      </c>
      <c r="AA369" s="139">
        <f>IF(ISBLANK(Table1368[[#This Row],[Date relisting]]),"",IF(ISBLANK(Table1368[[#This Row],[Date relisting]]),TODAY(),Table1368[[#This Row],[Date relisting]])-Table1368[[#This Row],[Date réception Achat]])</f>
      </c>
      <c r="AB369" s="139">
        <f>IF(ISBLANK(Table1368[[#This Row],[Date revente]]),"",IF(ISBLANK(Table1368[[#This Row],[Date revente]]),TODAY(),Table1368[[#This Row],[Date revente]])-Table1368[[#This Row],[Date relisting]])</f>
      </c>
      <c r="AC369" s="139">
        <f>IF(ISBLANK(Table1368[[#This Row],[Date revente]]),"",IF(ISBLANK(Table1368[[#This Row],[Date revente]]),TODAY(),Table1368[[#This Row],[Date revente]])-Table1368[[#This Row],[Date réception Achat]])</f>
      </c>
      <c r="AD369" s="139">
        <f>IF(ISBLANK(Table1368[[#This Row],[Date revente]]),"",IF(ISBLANK(Table1368[[#This Row],[Date revente]]),TODAY(),Table1368[[#This Row],[Date revente]])-Table1368[[#This Row],[Date achat]])</f>
      </c>
    </row>
    <row r="370" spans="1:30" x14ac:dyDescent="0.25">
      <c r="A370" s="134">
        <v>46224</v>
      </c>
      <c r="B370" s="141" t="s">
        <v>1011</v>
      </c>
      <c r="C370" s="134" t="s">
        <v>1012</v>
      </c>
      <c r="D370" s="156" t="s">
        <v>1010</v>
      </c>
      <c r="E370" s="156"/>
      <c r="F370" s="156"/>
      <c r="G370" s="159" t="s">
        <v>443</v>
      </c>
      <c r="H370" s="155" t="s">
        <v>178</v>
      </c>
      <c r="I370" s="134" t="s">
        <v>165</v>
      </c>
      <c r="J370" s="134" t="s">
        <v>157</v>
      </c>
      <c r="K370" s="135">
        <v>27.5</v>
      </c>
      <c r="L370" s="135">
        <f>Table1368[[#This Row],[Prix total Achat]]-Table1368[[#This Row],[Prix article]]</f>
        <v>20.09767142857143</v>
      </c>
      <c r="M370" s="135">
        <v>47.59767142857143</v>
      </c>
      <c r="N370" s="134"/>
      <c r="O370" s="136">
        <f>(Table1368[[#This Row],[Prix total Achat]]*2)</f>
        <v>95.19534285714286</v>
      </c>
      <c r="P370" s="136">
        <f>Table1368[[#This Row],[Prix Min voulu (x2 )]]*1.2</f>
        <v>114.23441142857143</v>
      </c>
      <c r="Q370" s="134"/>
      <c r="R370" s="134"/>
      <c r="S370" s="135"/>
      <c r="T370" s="134"/>
      <c r="U370" s="134"/>
      <c r="V370" s="137">
        <f>IF(ISBLANK(Table1368[[#This Row],[Date réception Achat]]),"",IF(ISBLANK(Table1368[[#This Row],[Date revente]]),TODAY(),Table1368[[#This Row],[Date revente]])-Table1368[[#This Row],[Date réception Achat]])</f>
      </c>
      <c r="W37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0" s="135">
        <f>IF(Table1368[[#This Row],[Prix de revente]]="","",Table1368[[#This Row],[Prix de revente]]-Table1368[[#This Row],[Prix total Achat]])</f>
      </c>
      <c r="Y370" s="138">
        <f>IF(Table1368[[#This Row],[Prix de revente]]="","",(Table1368[[#This Row],[Prix de revente]]/Table1368[[#This Row],[Prix total Achat]]))</f>
      </c>
      <c r="Z370" s="139">
        <f>IF(ISBLANK(Table1368[[#This Row],[Date réception Achat]]),"",IF(ISBLANK(Table1368[[#This Row],[Date réception Achat]]),TODAY(),Table1368[[#This Row],[Date réception Achat]])-Table1368[[#This Row],[Date achat]])</f>
      </c>
      <c r="AA370" s="139">
        <f>IF(ISBLANK(Table1368[[#This Row],[Date relisting]]),"",IF(ISBLANK(Table1368[[#This Row],[Date relisting]]),TODAY(),Table1368[[#This Row],[Date relisting]])-Table1368[[#This Row],[Date réception Achat]])</f>
      </c>
      <c r="AB370" s="139">
        <f>IF(ISBLANK(Table1368[[#This Row],[Date revente]]),"",IF(ISBLANK(Table1368[[#This Row],[Date revente]]),TODAY(),Table1368[[#This Row],[Date revente]])-Table1368[[#This Row],[Date relisting]])</f>
      </c>
      <c r="AC370" s="139">
        <f>IF(ISBLANK(Table1368[[#This Row],[Date revente]]),"",IF(ISBLANK(Table1368[[#This Row],[Date revente]]),TODAY(),Table1368[[#This Row],[Date revente]])-Table1368[[#This Row],[Date réception Achat]])</f>
      </c>
      <c r="AD370" s="139">
        <f>IF(ISBLANK(Table1368[[#This Row],[Date revente]]),"",IF(ISBLANK(Table1368[[#This Row],[Date revente]]),TODAY(),Table1368[[#This Row],[Date revente]])-Table1368[[#This Row],[Date achat]])</f>
      </c>
    </row>
    <row r="371" spans="1:30" x14ac:dyDescent="0.25">
      <c r="A371" s="134">
        <v>46224</v>
      </c>
      <c r="B371" s="141" t="s">
        <v>1013</v>
      </c>
      <c r="C371" s="134" t="s">
        <v>1014</v>
      </c>
      <c r="D371" s="156" t="s">
        <v>1010</v>
      </c>
      <c r="E371" s="156"/>
      <c r="F371" s="156"/>
      <c r="G371" s="159" t="s">
        <v>936</v>
      </c>
      <c r="H371" s="155" t="s">
        <v>1015</v>
      </c>
      <c r="I371" s="134" t="s">
        <v>165</v>
      </c>
      <c r="J371" s="134" t="s">
        <v>157</v>
      </c>
      <c r="K371" s="135">
        <v>40.15</v>
      </c>
      <c r="L371" s="135">
        <f>Table1368[[#This Row],[Prix total Achat]]-Table1368[[#This Row],[Prix article]]</f>
        <v>20.097671428571424</v>
      </c>
      <c r="M371" s="135">
        <v>60.24767142857142</v>
      </c>
      <c r="N371" s="134"/>
      <c r="O371" s="136">
        <f>(Table1368[[#This Row],[Prix total Achat]]*2)</f>
        <v>120.49534285714284</v>
      </c>
      <c r="P371" s="136">
        <f>Table1368[[#This Row],[Prix Min voulu (x2 )]]*1.2</f>
        <v>144.59441142857142</v>
      </c>
      <c r="Q371" s="134"/>
      <c r="R371" s="134"/>
      <c r="S371" s="135"/>
      <c r="T371" s="134"/>
      <c r="U371" s="134"/>
      <c r="V371" s="137">
        <f>IF(ISBLANK(Table1368[[#This Row],[Date réception Achat]]),"",IF(ISBLANK(Table1368[[#This Row],[Date revente]]),TODAY(),Table1368[[#This Row],[Date revente]])-Table1368[[#This Row],[Date réception Achat]])</f>
      </c>
      <c r="W37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1" s="135">
        <f>IF(Table1368[[#This Row],[Prix de revente]]="","",Table1368[[#This Row],[Prix de revente]]-Table1368[[#This Row],[Prix total Achat]])</f>
      </c>
      <c r="Y371" s="138">
        <f>IF(Table1368[[#This Row],[Prix de revente]]="","",(Table1368[[#This Row],[Prix de revente]]/Table1368[[#This Row],[Prix total Achat]]))</f>
      </c>
      <c r="Z371" s="139">
        <f>IF(ISBLANK(Table1368[[#This Row],[Date réception Achat]]),"",IF(ISBLANK(Table1368[[#This Row],[Date réception Achat]]),TODAY(),Table1368[[#This Row],[Date réception Achat]])-Table1368[[#This Row],[Date achat]])</f>
      </c>
      <c r="AA371" s="139">
        <f>IF(ISBLANK(Table1368[[#This Row],[Date relisting]]),"",IF(ISBLANK(Table1368[[#This Row],[Date relisting]]),TODAY(),Table1368[[#This Row],[Date relisting]])-Table1368[[#This Row],[Date réception Achat]])</f>
      </c>
      <c r="AB371" s="139">
        <f>IF(ISBLANK(Table1368[[#This Row],[Date revente]]),"",IF(ISBLANK(Table1368[[#This Row],[Date revente]]),TODAY(),Table1368[[#This Row],[Date revente]])-Table1368[[#This Row],[Date relisting]])</f>
      </c>
      <c r="AC371" s="139">
        <f>IF(ISBLANK(Table1368[[#This Row],[Date revente]]),"",IF(ISBLANK(Table1368[[#This Row],[Date revente]]),TODAY(),Table1368[[#This Row],[Date revente]])-Table1368[[#This Row],[Date réception Achat]])</f>
      </c>
      <c r="AD371" s="139">
        <f>IF(ISBLANK(Table1368[[#This Row],[Date revente]]),"",IF(ISBLANK(Table1368[[#This Row],[Date revente]]),TODAY(),Table1368[[#This Row],[Date revente]])-Table1368[[#This Row],[Date achat]])</f>
      </c>
    </row>
    <row r="372" spans="1:30" x14ac:dyDescent="0.25">
      <c r="A372" s="134">
        <v>46224</v>
      </c>
      <c r="B372" s="143" t="s">
        <v>1016</v>
      </c>
      <c r="C372" s="134" t="s">
        <v>1017</v>
      </c>
      <c r="D372" s="156" t="s">
        <v>1010</v>
      </c>
      <c r="E372" s="156"/>
      <c r="F372" s="156"/>
      <c r="G372" s="159" t="s">
        <v>1018</v>
      </c>
      <c r="H372" s="155" t="s">
        <v>1019</v>
      </c>
      <c r="I372" s="134" t="s">
        <v>165</v>
      </c>
      <c r="J372" s="134" t="s">
        <v>157</v>
      </c>
      <c r="K372" s="135">
        <v>9.899999999999999</v>
      </c>
      <c r="L372" s="135">
        <f>Table1368[[#This Row],[Prix total Achat]]-Table1368[[#This Row],[Prix article]]</f>
        <v>20.097671428571427</v>
      </c>
      <c r="M372" s="135">
        <v>29.997671428571426</v>
      </c>
      <c r="N372" s="134"/>
      <c r="O372" s="136">
        <f>(Table1368[[#This Row],[Prix total Achat]]*2)</f>
        <v>59.99534285714285</v>
      </c>
      <c r="P372" s="136">
        <f>Table1368[[#This Row],[Prix Min voulu (x2 )]]*1.2</f>
        <v>71.99441142857142</v>
      </c>
      <c r="Q372" s="134"/>
      <c r="R372" s="134"/>
      <c r="S372" s="135"/>
      <c r="T372" s="134"/>
      <c r="U372" s="134"/>
      <c r="V372" s="137">
        <f>IF(ISBLANK(Table1368[[#This Row],[Date réception Achat]]),"",IF(ISBLANK(Table1368[[#This Row],[Date revente]]),TODAY(),Table1368[[#This Row],[Date revente]])-Table1368[[#This Row],[Date réception Achat]])</f>
      </c>
      <c r="W37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2" s="135">
        <f>IF(Table1368[[#This Row],[Prix de revente]]="","",Table1368[[#This Row],[Prix de revente]]-Table1368[[#This Row],[Prix total Achat]])</f>
      </c>
      <c r="Y372" s="138">
        <f>IF(Table1368[[#This Row],[Prix de revente]]="","",(Table1368[[#This Row],[Prix de revente]]/Table1368[[#This Row],[Prix total Achat]]))</f>
      </c>
      <c r="Z372" s="139">
        <f>IF(ISBLANK(Table1368[[#This Row],[Date réception Achat]]),"",IF(ISBLANK(Table1368[[#This Row],[Date réception Achat]]),TODAY(),Table1368[[#This Row],[Date réception Achat]])-Table1368[[#This Row],[Date achat]])</f>
      </c>
      <c r="AA372" s="139">
        <f>IF(ISBLANK(Table1368[[#This Row],[Date relisting]]),"",IF(ISBLANK(Table1368[[#This Row],[Date relisting]]),TODAY(),Table1368[[#This Row],[Date relisting]])-Table1368[[#This Row],[Date réception Achat]])</f>
      </c>
      <c r="AB372" s="139">
        <f>IF(ISBLANK(Table1368[[#This Row],[Date revente]]),"",IF(ISBLANK(Table1368[[#This Row],[Date revente]]),TODAY(),Table1368[[#This Row],[Date revente]])-Table1368[[#This Row],[Date relisting]])</f>
      </c>
      <c r="AC372" s="139">
        <f>IF(ISBLANK(Table1368[[#This Row],[Date revente]]),"",IF(ISBLANK(Table1368[[#This Row],[Date revente]]),TODAY(),Table1368[[#This Row],[Date revente]])-Table1368[[#This Row],[Date réception Achat]])</f>
      </c>
      <c r="AD372" s="139">
        <f>IF(ISBLANK(Table1368[[#This Row],[Date revente]]),"",IF(ISBLANK(Table1368[[#This Row],[Date revente]]),TODAY(),Table1368[[#This Row],[Date revente]])-Table1368[[#This Row],[Date achat]])</f>
      </c>
    </row>
    <row r="373" spans="1:30" x14ac:dyDescent="0.25">
      <c r="A373" s="134">
        <v>46224</v>
      </c>
      <c r="B373" s="143" t="s">
        <v>1020</v>
      </c>
      <c r="C373" s="134" t="s">
        <v>1021</v>
      </c>
      <c r="D373" s="156" t="s">
        <v>1010</v>
      </c>
      <c r="E373" s="156"/>
      <c r="F373" s="156"/>
      <c r="G373" s="159" t="s">
        <v>509</v>
      </c>
      <c r="H373" s="155" t="s">
        <v>178</v>
      </c>
      <c r="I373" s="134" t="s">
        <v>165</v>
      </c>
      <c r="J373" s="134" t="s">
        <v>157</v>
      </c>
      <c r="K373" s="135">
        <v>9.35</v>
      </c>
      <c r="L373" s="135">
        <f>Table1368[[#This Row],[Prix total Achat]]-Table1368[[#This Row],[Prix article]]</f>
        <v>20.097671428571424</v>
      </c>
      <c r="M373" s="135">
        <v>29.447671428571425</v>
      </c>
      <c r="N373" s="134"/>
      <c r="O373" s="136">
        <f>(Table1368[[#This Row],[Prix total Achat]]*2)</f>
        <v>58.89534285714285</v>
      </c>
      <c r="P373" s="136">
        <f>Table1368[[#This Row],[Prix Min voulu (x2 )]]*1.2</f>
        <v>70.67441142857142</v>
      </c>
      <c r="Q373" s="134"/>
      <c r="R373" s="134"/>
      <c r="S373" s="135"/>
      <c r="T373" s="134"/>
      <c r="U373" s="134"/>
      <c r="V373" s="137">
        <f>IF(ISBLANK(Table1368[[#This Row],[Date réception Achat]]),"",IF(ISBLANK(Table1368[[#This Row],[Date revente]]),TODAY(),Table1368[[#This Row],[Date revente]])-Table1368[[#This Row],[Date réception Achat]])</f>
      </c>
      <c r="W37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3" s="135">
        <f>IF(Table1368[[#This Row],[Prix de revente]]="","",Table1368[[#This Row],[Prix de revente]]-Table1368[[#This Row],[Prix total Achat]])</f>
      </c>
      <c r="Y373" s="138">
        <f>IF(Table1368[[#This Row],[Prix de revente]]="","",(Table1368[[#This Row],[Prix de revente]]/Table1368[[#This Row],[Prix total Achat]]))</f>
      </c>
      <c r="Z373" s="139">
        <f>IF(ISBLANK(Table1368[[#This Row],[Date réception Achat]]),"",IF(ISBLANK(Table1368[[#This Row],[Date réception Achat]]),TODAY(),Table1368[[#This Row],[Date réception Achat]])-Table1368[[#This Row],[Date achat]])</f>
      </c>
      <c r="AA373" s="139">
        <f>IF(ISBLANK(Table1368[[#This Row],[Date relisting]]),"",IF(ISBLANK(Table1368[[#This Row],[Date relisting]]),TODAY(),Table1368[[#This Row],[Date relisting]])-Table1368[[#This Row],[Date réception Achat]])</f>
      </c>
      <c r="AB373" s="139">
        <f>IF(ISBLANK(Table1368[[#This Row],[Date revente]]),"",IF(ISBLANK(Table1368[[#This Row],[Date revente]]),TODAY(),Table1368[[#This Row],[Date revente]])-Table1368[[#This Row],[Date relisting]])</f>
      </c>
      <c r="AC373" s="139">
        <f>IF(ISBLANK(Table1368[[#This Row],[Date revente]]),"",IF(ISBLANK(Table1368[[#This Row],[Date revente]]),TODAY(),Table1368[[#This Row],[Date revente]])-Table1368[[#This Row],[Date réception Achat]])</f>
      </c>
      <c r="AD373" s="139">
        <f>IF(ISBLANK(Table1368[[#This Row],[Date revente]]),"",IF(ISBLANK(Table1368[[#This Row],[Date revente]]),TODAY(),Table1368[[#This Row],[Date revente]])-Table1368[[#This Row],[Date achat]])</f>
      </c>
    </row>
    <row r="374" spans="1:30" x14ac:dyDescent="0.25">
      <c r="A374" s="134">
        <v>46224</v>
      </c>
      <c r="B374" s="143" t="s">
        <v>1022</v>
      </c>
      <c r="C374" s="134" t="s">
        <v>1023</v>
      </c>
      <c r="D374" s="156" t="s">
        <v>1010</v>
      </c>
      <c r="E374" s="156"/>
      <c r="F374" s="156"/>
      <c r="G374" s="159" t="s">
        <v>682</v>
      </c>
      <c r="H374" s="155" t="s">
        <v>178</v>
      </c>
      <c r="I374" s="134" t="s">
        <v>165</v>
      </c>
      <c r="J374" s="134" t="s">
        <v>157</v>
      </c>
      <c r="K374" s="135">
        <v>11</v>
      </c>
      <c r="L374" s="135">
        <f>Table1368[[#This Row],[Prix total Achat]]-Table1368[[#This Row],[Prix article]]</f>
        <v>20.097671428571427</v>
      </c>
      <c r="M374" s="135">
        <v>31.097671428571427</v>
      </c>
      <c r="N374" s="134"/>
      <c r="O374" s="136">
        <f>(Table1368[[#This Row],[Prix total Achat]]*2)</f>
        <v>62.195342857142855</v>
      </c>
      <c r="P374" s="136">
        <f>Table1368[[#This Row],[Prix Min voulu (x2 )]]*1.2</f>
        <v>74.63441142857143</v>
      </c>
      <c r="Q374" s="134"/>
      <c r="R374" s="134"/>
      <c r="S374" s="135"/>
      <c r="T374" s="134"/>
      <c r="U374" s="134"/>
      <c r="V374" s="137">
        <f>IF(ISBLANK(Table1368[[#This Row],[Date réception Achat]]),"",IF(ISBLANK(Table1368[[#This Row],[Date revente]]),TODAY(),Table1368[[#This Row],[Date revente]])-Table1368[[#This Row],[Date réception Achat]])</f>
      </c>
      <c r="W37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4" s="135">
        <f>IF(Table1368[[#This Row],[Prix de revente]]="","",Table1368[[#This Row],[Prix de revente]]-Table1368[[#This Row],[Prix total Achat]])</f>
      </c>
      <c r="Y374" s="138">
        <f>IF(Table1368[[#This Row],[Prix de revente]]="","",(Table1368[[#This Row],[Prix de revente]]/Table1368[[#This Row],[Prix total Achat]]))</f>
      </c>
      <c r="Z374" s="139">
        <f>IF(ISBLANK(Table1368[[#This Row],[Date réception Achat]]),"",IF(ISBLANK(Table1368[[#This Row],[Date réception Achat]]),TODAY(),Table1368[[#This Row],[Date réception Achat]])-Table1368[[#This Row],[Date achat]])</f>
      </c>
      <c r="AA374" s="139">
        <f>IF(ISBLANK(Table1368[[#This Row],[Date relisting]]),"",IF(ISBLANK(Table1368[[#This Row],[Date relisting]]),TODAY(),Table1368[[#This Row],[Date relisting]])-Table1368[[#This Row],[Date réception Achat]])</f>
      </c>
      <c r="AB374" s="139">
        <f>IF(ISBLANK(Table1368[[#This Row],[Date revente]]),"",IF(ISBLANK(Table1368[[#This Row],[Date revente]]),TODAY(),Table1368[[#This Row],[Date revente]])-Table1368[[#This Row],[Date relisting]])</f>
      </c>
      <c r="AC374" s="139">
        <f>IF(ISBLANK(Table1368[[#This Row],[Date revente]]),"",IF(ISBLANK(Table1368[[#This Row],[Date revente]]),TODAY(),Table1368[[#This Row],[Date revente]])-Table1368[[#This Row],[Date réception Achat]])</f>
      </c>
      <c r="AD374" s="139">
        <f>IF(ISBLANK(Table1368[[#This Row],[Date revente]]),"",IF(ISBLANK(Table1368[[#This Row],[Date revente]]),TODAY(),Table1368[[#This Row],[Date revente]])-Table1368[[#This Row],[Date achat]])</f>
      </c>
    </row>
    <row r="375" spans="1:30" x14ac:dyDescent="0.25">
      <c r="A375" s="134">
        <v>46224</v>
      </c>
      <c r="B375" s="143" t="s">
        <v>1024</v>
      </c>
      <c r="C375" s="134" t="s">
        <v>1025</v>
      </c>
      <c r="D375" s="156" t="s">
        <v>1010</v>
      </c>
      <c r="E375" s="156"/>
      <c r="F375" s="156"/>
      <c r="G375" s="159" t="s">
        <v>1026</v>
      </c>
      <c r="H375" s="155" t="s">
        <v>1027</v>
      </c>
      <c r="I375" s="134" t="s">
        <v>165</v>
      </c>
      <c r="J375" s="134" t="s">
        <v>157</v>
      </c>
      <c r="K375" s="135">
        <v>39.93</v>
      </c>
      <c r="L375" s="135">
        <f>Table1368[[#This Row],[Prix total Achat]]-Table1368[[#This Row],[Prix article]]</f>
        <v>20.097671428571424</v>
      </c>
      <c r="M375" s="135">
        <v>60.02767142857142</v>
      </c>
      <c r="N375" s="134"/>
      <c r="O375" s="136">
        <f>(Table1368[[#This Row],[Prix total Achat]]*2)</f>
        <v>120.05534285714285</v>
      </c>
      <c r="P375" s="136">
        <f>Table1368[[#This Row],[Prix Min voulu (x2 )]]*1.2</f>
        <v>144.0664114285714</v>
      </c>
      <c r="Q375" s="134"/>
      <c r="R375" s="134"/>
      <c r="S375" s="135"/>
      <c r="T375" s="134"/>
      <c r="U375" s="134"/>
      <c r="V375" s="137">
        <f>IF(ISBLANK(Table1368[[#This Row],[Date réception Achat]]),"",IF(ISBLANK(Table1368[[#This Row],[Date revente]]),TODAY(),Table1368[[#This Row],[Date revente]])-Table1368[[#This Row],[Date réception Achat]])</f>
      </c>
      <c r="W37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5" s="135">
        <f>IF(Table1368[[#This Row],[Prix de revente]]="","",Table1368[[#This Row],[Prix de revente]]-Table1368[[#This Row],[Prix total Achat]])</f>
      </c>
      <c r="Y375" s="138">
        <f>IF(Table1368[[#This Row],[Prix de revente]]="","",(Table1368[[#This Row],[Prix de revente]]/Table1368[[#This Row],[Prix total Achat]]))</f>
      </c>
      <c r="Z375" s="139">
        <f>IF(ISBLANK(Table1368[[#This Row],[Date réception Achat]]),"",IF(ISBLANK(Table1368[[#This Row],[Date réception Achat]]),TODAY(),Table1368[[#This Row],[Date réception Achat]])-Table1368[[#This Row],[Date achat]])</f>
      </c>
      <c r="AA375" s="139">
        <f>IF(ISBLANK(Table1368[[#This Row],[Date relisting]]),"",IF(ISBLANK(Table1368[[#This Row],[Date relisting]]),TODAY(),Table1368[[#This Row],[Date relisting]])-Table1368[[#This Row],[Date réception Achat]])</f>
      </c>
      <c r="AB375" s="139">
        <f>IF(ISBLANK(Table1368[[#This Row],[Date revente]]),"",IF(ISBLANK(Table1368[[#This Row],[Date revente]]),TODAY(),Table1368[[#This Row],[Date revente]])-Table1368[[#This Row],[Date relisting]])</f>
      </c>
      <c r="AC375" s="139">
        <f>IF(ISBLANK(Table1368[[#This Row],[Date revente]]),"",IF(ISBLANK(Table1368[[#This Row],[Date revente]]),TODAY(),Table1368[[#This Row],[Date revente]])-Table1368[[#This Row],[Date réception Achat]])</f>
      </c>
      <c r="AD375" s="139">
        <f>IF(ISBLANK(Table1368[[#This Row],[Date revente]]),"",IF(ISBLANK(Table1368[[#This Row],[Date revente]]),TODAY(),Table1368[[#This Row],[Date revente]])-Table1368[[#This Row],[Date achat]])</f>
      </c>
    </row>
    <row r="376" spans="1:30" x14ac:dyDescent="0.25">
      <c r="A376" s="134">
        <v>46224</v>
      </c>
      <c r="B376" s="141" t="s">
        <v>1028</v>
      </c>
      <c r="C376" s="134" t="s">
        <v>1029</v>
      </c>
      <c r="D376" s="156" t="s">
        <v>1030</v>
      </c>
      <c r="E376" s="156"/>
      <c r="F376" s="156"/>
      <c r="G376" s="159" t="s">
        <v>163</v>
      </c>
      <c r="H376" s="155" t="s">
        <v>178</v>
      </c>
      <c r="I376" s="134" t="s">
        <v>165</v>
      </c>
      <c r="J376" s="134" t="s">
        <v>157</v>
      </c>
      <c r="K376" s="135">
        <v>13.639999999999999</v>
      </c>
      <c r="L376" s="135">
        <f>Table1368[[#This Row],[Prix total Achat]]-Table1368[[#This Row],[Prix article]]</f>
        <v>19.5901208</v>
      </c>
      <c r="M376" s="135">
        <v>33.2301208</v>
      </c>
      <c r="N376" s="134"/>
      <c r="O376" s="136">
        <f>(Table1368[[#This Row],[Prix total Achat]]*2)</f>
        <v>66.4602416</v>
      </c>
      <c r="P376" s="136">
        <f>Table1368[[#This Row],[Prix Min voulu (x2 )]]*1.2</f>
        <v>79.75228992</v>
      </c>
      <c r="Q376" s="134"/>
      <c r="R376" s="134"/>
      <c r="S376" s="135"/>
      <c r="T376" s="134"/>
      <c r="U376" s="134"/>
      <c r="V376" s="137">
        <f>IF(ISBLANK(Table1368[[#This Row],[Date réception Achat]]),"",IF(ISBLANK(Table1368[[#This Row],[Date revente]]),TODAY(),Table1368[[#This Row],[Date revente]])-Table1368[[#This Row],[Date réception Achat]])</f>
      </c>
      <c r="W37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6" s="135">
        <f>IF(Table1368[[#This Row],[Prix de revente]]="","",Table1368[[#This Row],[Prix de revente]]-Table1368[[#This Row],[Prix total Achat]])</f>
      </c>
      <c r="Y376" s="138">
        <f>IF(Table1368[[#This Row],[Prix de revente]]="","",(Table1368[[#This Row],[Prix de revente]]/Table1368[[#This Row],[Prix total Achat]]))</f>
      </c>
      <c r="Z376" s="139">
        <f>IF(ISBLANK(Table1368[[#This Row],[Date réception Achat]]),"",IF(ISBLANK(Table1368[[#This Row],[Date réception Achat]]),TODAY(),Table1368[[#This Row],[Date réception Achat]])-Table1368[[#This Row],[Date achat]])</f>
      </c>
      <c r="AA376" s="139">
        <f>IF(ISBLANK(Table1368[[#This Row],[Date relisting]]),"",IF(ISBLANK(Table1368[[#This Row],[Date relisting]]),TODAY(),Table1368[[#This Row],[Date relisting]])-Table1368[[#This Row],[Date réception Achat]])</f>
      </c>
      <c r="AB376" s="139">
        <f>IF(ISBLANK(Table1368[[#This Row],[Date revente]]),"",IF(ISBLANK(Table1368[[#This Row],[Date revente]]),TODAY(),Table1368[[#This Row],[Date revente]])-Table1368[[#This Row],[Date relisting]])</f>
      </c>
      <c r="AC376" s="139">
        <f>IF(ISBLANK(Table1368[[#This Row],[Date revente]]),"",IF(ISBLANK(Table1368[[#This Row],[Date revente]]),TODAY(),Table1368[[#This Row],[Date revente]])-Table1368[[#This Row],[Date réception Achat]])</f>
      </c>
      <c r="AD376" s="139">
        <f>IF(ISBLANK(Table1368[[#This Row],[Date revente]]),"",IF(ISBLANK(Table1368[[#This Row],[Date revente]]),TODAY(),Table1368[[#This Row],[Date revente]])-Table1368[[#This Row],[Date achat]])</f>
      </c>
    </row>
    <row r="377" spans="1:30" x14ac:dyDescent="0.25">
      <c r="A377" s="134">
        <v>46224</v>
      </c>
      <c r="B377" s="141" t="s">
        <v>1031</v>
      </c>
      <c r="C377" s="134" t="s">
        <v>1032</v>
      </c>
      <c r="D377" s="156" t="s">
        <v>1030</v>
      </c>
      <c r="E377" s="156"/>
      <c r="F377" s="156"/>
      <c r="G377" s="159" t="s">
        <v>1026</v>
      </c>
      <c r="H377" s="155" t="s">
        <v>1033</v>
      </c>
      <c r="I377" s="134" t="s">
        <v>165</v>
      </c>
      <c r="J377" s="134" t="s">
        <v>157</v>
      </c>
      <c r="K377" s="135">
        <v>28.599999999999998</v>
      </c>
      <c r="L377" s="135">
        <f>Table1368[[#This Row],[Prix total Achat]]-Table1368[[#This Row],[Prix article]]</f>
        <v>19.590120800000005</v>
      </c>
      <c r="M377" s="135">
        <v>48.1901208</v>
      </c>
      <c r="N377" s="134"/>
      <c r="O377" s="136">
        <f>(Table1368[[#This Row],[Prix total Achat]]*2)</f>
        <v>96.3802416</v>
      </c>
      <c r="P377" s="136">
        <f>Table1368[[#This Row],[Prix Min voulu (x2 )]]*1.2</f>
        <v>115.65628992</v>
      </c>
      <c r="Q377" s="134"/>
      <c r="R377" s="134"/>
      <c r="S377" s="135"/>
      <c r="T377" s="134"/>
      <c r="U377" s="134"/>
      <c r="V377" s="137">
        <f>IF(ISBLANK(Table1368[[#This Row],[Date réception Achat]]),"",IF(ISBLANK(Table1368[[#This Row],[Date revente]]),TODAY(),Table1368[[#This Row],[Date revente]])-Table1368[[#This Row],[Date réception Achat]])</f>
      </c>
      <c r="W37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7" s="135">
        <f>IF(Table1368[[#This Row],[Prix de revente]]="","",Table1368[[#This Row],[Prix de revente]]-Table1368[[#This Row],[Prix total Achat]])</f>
      </c>
      <c r="Y377" s="138">
        <f>IF(Table1368[[#This Row],[Prix de revente]]="","",(Table1368[[#This Row],[Prix de revente]]/Table1368[[#This Row],[Prix total Achat]]))</f>
      </c>
      <c r="Z377" s="139">
        <f>IF(ISBLANK(Table1368[[#This Row],[Date réception Achat]]),"",IF(ISBLANK(Table1368[[#This Row],[Date réception Achat]]),TODAY(),Table1368[[#This Row],[Date réception Achat]])-Table1368[[#This Row],[Date achat]])</f>
      </c>
      <c r="AA377" s="139">
        <f>IF(ISBLANK(Table1368[[#This Row],[Date relisting]]),"",IF(ISBLANK(Table1368[[#This Row],[Date relisting]]),TODAY(),Table1368[[#This Row],[Date relisting]])-Table1368[[#This Row],[Date réception Achat]])</f>
      </c>
      <c r="AB377" s="139">
        <f>IF(ISBLANK(Table1368[[#This Row],[Date revente]]),"",IF(ISBLANK(Table1368[[#This Row],[Date revente]]),TODAY(),Table1368[[#This Row],[Date revente]])-Table1368[[#This Row],[Date relisting]])</f>
      </c>
      <c r="AC377" s="139">
        <f>IF(ISBLANK(Table1368[[#This Row],[Date revente]]),"",IF(ISBLANK(Table1368[[#This Row],[Date revente]]),TODAY(),Table1368[[#This Row],[Date revente]])-Table1368[[#This Row],[Date réception Achat]])</f>
      </c>
      <c r="AD377" s="139">
        <f>IF(ISBLANK(Table1368[[#This Row],[Date revente]]),"",IF(ISBLANK(Table1368[[#This Row],[Date revente]]),TODAY(),Table1368[[#This Row],[Date revente]])-Table1368[[#This Row],[Date achat]])</f>
      </c>
    </row>
    <row r="378" spans="1:30" x14ac:dyDescent="0.25">
      <c r="A378" s="134">
        <v>46224</v>
      </c>
      <c r="B378" s="141" t="s">
        <v>1034</v>
      </c>
      <c r="C378" s="134" t="s">
        <v>1035</v>
      </c>
      <c r="D378" s="156" t="s">
        <v>1030</v>
      </c>
      <c r="E378" s="156"/>
      <c r="F378" s="156"/>
      <c r="G378" s="159" t="s">
        <v>378</v>
      </c>
      <c r="H378" s="155" t="s">
        <v>1036</v>
      </c>
      <c r="I378" s="134" t="s">
        <v>165</v>
      </c>
      <c r="J378" s="134" t="s">
        <v>157</v>
      </c>
      <c r="K378" s="135">
        <v>19.25</v>
      </c>
      <c r="L378" s="135">
        <f>Table1368[[#This Row],[Prix total Achat]]-Table1368[[#This Row],[Prix article]]</f>
        <v>19.5901208</v>
      </c>
      <c r="M378" s="135">
        <v>38.8401208</v>
      </c>
      <c r="N378" s="134"/>
      <c r="O378" s="136">
        <f>(Table1368[[#This Row],[Prix total Achat]]*2)</f>
        <v>77.6802416</v>
      </c>
      <c r="P378" s="136">
        <f>Table1368[[#This Row],[Prix Min voulu (x2 )]]*1.2</f>
        <v>93.21628992</v>
      </c>
      <c r="Q378" s="134"/>
      <c r="R378" s="134"/>
      <c r="S378" s="135"/>
      <c r="T378" s="134"/>
      <c r="U378" s="134"/>
      <c r="V378" s="137">
        <f>IF(ISBLANK(Table1368[[#This Row],[Date réception Achat]]),"",IF(ISBLANK(Table1368[[#This Row],[Date revente]]),TODAY(),Table1368[[#This Row],[Date revente]])-Table1368[[#This Row],[Date réception Achat]])</f>
      </c>
      <c r="W37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8" s="135">
        <f>IF(Table1368[[#This Row],[Prix de revente]]="","",Table1368[[#This Row],[Prix de revente]]-Table1368[[#This Row],[Prix total Achat]])</f>
      </c>
      <c r="Y378" s="138">
        <f>IF(Table1368[[#This Row],[Prix de revente]]="","",(Table1368[[#This Row],[Prix de revente]]/Table1368[[#This Row],[Prix total Achat]]))</f>
      </c>
      <c r="Z378" s="139">
        <f>IF(ISBLANK(Table1368[[#This Row],[Date réception Achat]]),"",IF(ISBLANK(Table1368[[#This Row],[Date réception Achat]]),TODAY(),Table1368[[#This Row],[Date réception Achat]])-Table1368[[#This Row],[Date achat]])</f>
      </c>
      <c r="AA378" s="139">
        <f>IF(ISBLANK(Table1368[[#This Row],[Date relisting]]),"",IF(ISBLANK(Table1368[[#This Row],[Date relisting]]),TODAY(),Table1368[[#This Row],[Date relisting]])-Table1368[[#This Row],[Date réception Achat]])</f>
      </c>
      <c r="AB378" s="139">
        <f>IF(ISBLANK(Table1368[[#This Row],[Date revente]]),"",IF(ISBLANK(Table1368[[#This Row],[Date revente]]),TODAY(),Table1368[[#This Row],[Date revente]])-Table1368[[#This Row],[Date relisting]])</f>
      </c>
      <c r="AC378" s="139">
        <f>IF(ISBLANK(Table1368[[#This Row],[Date revente]]),"",IF(ISBLANK(Table1368[[#This Row],[Date revente]]),TODAY(),Table1368[[#This Row],[Date revente]])-Table1368[[#This Row],[Date réception Achat]])</f>
      </c>
      <c r="AD378" s="139">
        <f>IF(ISBLANK(Table1368[[#This Row],[Date revente]]),"",IF(ISBLANK(Table1368[[#This Row],[Date revente]]),TODAY(),Table1368[[#This Row],[Date revente]])-Table1368[[#This Row],[Date achat]])</f>
      </c>
    </row>
    <row r="379" spans="1:30" x14ac:dyDescent="0.25">
      <c r="A379" s="134">
        <v>46224</v>
      </c>
      <c r="B379" s="143" t="s">
        <v>1037</v>
      </c>
      <c r="C379" s="134" t="s">
        <v>1038</v>
      </c>
      <c r="D379" s="156" t="s">
        <v>1030</v>
      </c>
      <c r="E379" s="156"/>
      <c r="F379" s="156"/>
      <c r="G379" s="159" t="s">
        <v>408</v>
      </c>
      <c r="H379" s="155" t="s">
        <v>1039</v>
      </c>
      <c r="I379" s="134" t="s">
        <v>165</v>
      </c>
      <c r="J379" s="134" t="s">
        <v>157</v>
      </c>
      <c r="K379" s="135">
        <v>45.122</v>
      </c>
      <c r="L379" s="135">
        <f>Table1368[[#This Row],[Prix total Achat]]-Table1368[[#This Row],[Prix article]]</f>
        <v>19.590120800000008</v>
      </c>
      <c r="M379" s="135">
        <v>64.71212080000001</v>
      </c>
      <c r="N379" s="134"/>
      <c r="O379" s="136">
        <f>(Table1368[[#This Row],[Prix total Achat]]*2)</f>
        <v>129.42424160000002</v>
      </c>
      <c r="P379" s="136">
        <f>Table1368[[#This Row],[Prix Min voulu (x2 )]]*1.2</f>
        <v>155.30908992000002</v>
      </c>
      <c r="Q379" s="134"/>
      <c r="R379" s="134"/>
      <c r="S379" s="135"/>
      <c r="T379" s="134"/>
      <c r="U379" s="134"/>
      <c r="V379" s="137">
        <f>IF(ISBLANK(Table1368[[#This Row],[Date réception Achat]]),"",IF(ISBLANK(Table1368[[#This Row],[Date revente]]),TODAY(),Table1368[[#This Row],[Date revente]])-Table1368[[#This Row],[Date réception Achat]])</f>
      </c>
      <c r="W37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79" s="135">
        <f>IF(Table1368[[#This Row],[Prix de revente]]="","",Table1368[[#This Row],[Prix de revente]]-Table1368[[#This Row],[Prix total Achat]])</f>
      </c>
      <c r="Y379" s="138">
        <f>IF(Table1368[[#This Row],[Prix de revente]]="","",(Table1368[[#This Row],[Prix de revente]]/Table1368[[#This Row],[Prix total Achat]]))</f>
      </c>
      <c r="Z379" s="139">
        <f>IF(ISBLANK(Table1368[[#This Row],[Date réception Achat]]),"",IF(ISBLANK(Table1368[[#This Row],[Date réception Achat]]),TODAY(),Table1368[[#This Row],[Date réception Achat]])-Table1368[[#This Row],[Date achat]])</f>
      </c>
      <c r="AA379" s="139">
        <f>IF(ISBLANK(Table1368[[#This Row],[Date relisting]]),"",IF(ISBLANK(Table1368[[#This Row],[Date relisting]]),TODAY(),Table1368[[#This Row],[Date relisting]])-Table1368[[#This Row],[Date réception Achat]])</f>
      </c>
      <c r="AB379" s="139">
        <f>IF(ISBLANK(Table1368[[#This Row],[Date revente]]),"",IF(ISBLANK(Table1368[[#This Row],[Date revente]]),TODAY(),Table1368[[#This Row],[Date revente]])-Table1368[[#This Row],[Date relisting]])</f>
      </c>
      <c r="AC379" s="139">
        <f>IF(ISBLANK(Table1368[[#This Row],[Date revente]]),"",IF(ISBLANK(Table1368[[#This Row],[Date revente]]),TODAY(),Table1368[[#This Row],[Date revente]])-Table1368[[#This Row],[Date réception Achat]])</f>
      </c>
      <c r="AD379" s="139">
        <f>IF(ISBLANK(Table1368[[#This Row],[Date revente]]),"",IF(ISBLANK(Table1368[[#This Row],[Date revente]]),TODAY(),Table1368[[#This Row],[Date revente]])-Table1368[[#This Row],[Date achat]])</f>
      </c>
    </row>
    <row r="380" spans="1:30" x14ac:dyDescent="0.25">
      <c r="A380" s="134">
        <v>46224</v>
      </c>
      <c r="B380" s="143" t="s">
        <v>1040</v>
      </c>
      <c r="C380" s="134" t="s">
        <v>1041</v>
      </c>
      <c r="D380" s="156" t="s">
        <v>1030</v>
      </c>
      <c r="E380" s="156"/>
      <c r="F380" s="156"/>
      <c r="G380" s="159" t="s">
        <v>1026</v>
      </c>
      <c r="H380" s="155" t="s">
        <v>810</v>
      </c>
      <c r="I380" s="134" t="s">
        <v>165</v>
      </c>
      <c r="J380" s="134" t="s">
        <v>157</v>
      </c>
      <c r="K380" s="135">
        <v>38.5</v>
      </c>
      <c r="L380" s="135">
        <f>Table1368[[#This Row],[Prix total Achat]]-Table1368[[#This Row],[Prix article]]</f>
        <v>19.5901208</v>
      </c>
      <c r="M380" s="135">
        <v>58.0901208</v>
      </c>
      <c r="N380" s="134"/>
      <c r="O380" s="136">
        <f>(Table1368[[#This Row],[Prix total Achat]]*2)</f>
        <v>116.1802416</v>
      </c>
      <c r="P380" s="136">
        <f>Table1368[[#This Row],[Prix Min voulu (x2 )]]*1.2</f>
        <v>139.41628992</v>
      </c>
      <c r="Q380" s="134"/>
      <c r="R380" s="134"/>
      <c r="S380" s="135"/>
      <c r="T380" s="134"/>
      <c r="U380" s="134"/>
      <c r="V380" s="137">
        <f>IF(ISBLANK(Table1368[[#This Row],[Date réception Achat]]),"",IF(ISBLANK(Table1368[[#This Row],[Date revente]]),TODAY(),Table1368[[#This Row],[Date revente]])-Table1368[[#This Row],[Date réception Achat]])</f>
      </c>
      <c r="W38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380" s="135">
        <f>IF(Table1368[[#This Row],[Prix de revente]]="","",Table1368[[#This Row],[Prix de revente]]-Table1368[[#This Row],[Prix total Achat]])</f>
      </c>
      <c r="Y380" s="138">
        <f>IF(Table1368[[#This Row],[Prix de revente]]="","",(Table1368[[#This Row],[Prix de revente]]/Table1368[[#This Row],[Prix total Achat]]))</f>
      </c>
      <c r="Z380" s="139">
        <f>IF(ISBLANK(Table1368[[#This Row],[Date réception Achat]]),"",IF(ISBLANK(Table1368[[#This Row],[Date réception Achat]]),TODAY(),Table1368[[#This Row],[Date réception Achat]])-Table1368[[#This Row],[Date achat]])</f>
      </c>
      <c r="AA380" s="139">
        <f>IF(ISBLANK(Table1368[[#This Row],[Date relisting]]),"",IF(ISBLANK(Table1368[[#This Row],[Date relisting]]),TODAY(),Table1368[[#This Row],[Date relisting]])-Table1368[[#This Row],[Date réception Achat]])</f>
      </c>
      <c r="AB380" s="139">
        <f>IF(ISBLANK(Table1368[[#This Row],[Date revente]]),"",IF(ISBLANK(Table1368[[#This Row],[Date revente]]),TODAY(),Table1368[[#This Row],[Date revente]])-Table1368[[#This Row],[Date relisting]])</f>
      </c>
      <c r="AC380" s="139">
        <f>IF(ISBLANK(Table1368[[#This Row],[Date revente]]),"",IF(ISBLANK(Table1368[[#This Row],[Date revente]]),TODAY(),Table1368[[#This Row],[Date revente]])-Table1368[[#This Row],[Date réception Achat]])</f>
      </c>
      <c r="AD380" s="139">
        <f>IF(ISBLANK(Table1368[[#This Row],[Date revente]]),"",IF(ISBLANK(Table1368[[#This Row],[Date revente]]),TODAY(),Table1368[[#This Row],[Date revente]])-Table1368[[#This Row],[Date achat]])</f>
      </c>
    </row>
    <row r="381" spans="1:30" x14ac:dyDescent="0.25">
      <c r="A381" s="134">
        <v>46239</v>
      </c>
      <c r="B381" s="141" t="s">
        <v>851</v>
      </c>
      <c r="C381" s="134" t="s">
        <v>1042</v>
      </c>
      <c r="D381" s="156" t="s">
        <v>157</v>
      </c>
      <c r="E381" s="156"/>
      <c r="F381" s="156"/>
      <c r="G381" s="134" t="s">
        <v>408</v>
      </c>
      <c r="H381" s="127" t="s">
        <v>256</v>
      </c>
      <c r="I381" s="134" t="s">
        <v>160</v>
      </c>
      <c r="J381" s="134" t="s">
        <v>157</v>
      </c>
      <c r="K381" s="135">
        <v>50</v>
      </c>
      <c r="L381" s="135">
        <f>Table1368[[#This Row],[Prix total Achat]]-Table1368[[#This Row],[Prix article]]</f>
        <v>6.990000000000002</v>
      </c>
      <c r="M381" s="135">
        <v>56.99</v>
      </c>
      <c r="N381" s="134">
        <v>46244</v>
      </c>
      <c r="O381" s="136">
        <f>(Table1368[[#This Row],[Prix total Achat]]*2)</f>
        <v>113.98</v>
      </c>
      <c r="P381" s="136">
        <f>Table1368[[#This Row],[Prix Min voulu (x2 )]]*1.2</f>
        <v>136.776</v>
      </c>
      <c r="Q381" s="134">
        <v>46275</v>
      </c>
      <c r="R381" s="134"/>
      <c r="S381" s="135"/>
      <c r="T381" s="134"/>
      <c r="U381" s="134" t="s">
        <v>157</v>
      </c>
      <c r="V381" s="137">
        <f>IF(ISBLANK(Table1368[[#This Row],[Date réception Achat]]),"",IF(ISBLANK(Table1368[[#This Row],[Date revente]]),TODAY(),Table1368[[#This Row],[Date revente]])-Table1368[[#This Row],[Date réception Achat]])</f>
        <v>59</v>
      </c>
      <c r="W38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81" s="135">
        <f>IF(Table1368[[#This Row],[Prix de revente]]="","",Table1368[[#This Row],[Prix de revente]]-Table1368[[#This Row],[Prix total Achat]])</f>
      </c>
      <c r="Y381" s="138">
        <f>IF(Table1368[[#This Row],[Prix de revente]]="","",(Table1368[[#This Row],[Prix de revente]]/Table1368[[#This Row],[Prix total Achat]]))</f>
      </c>
      <c r="Z381" s="139">
        <f>IF(ISBLANK(Table1368[[#This Row],[Date réception Achat]]),"",IF(ISBLANK(Table1368[[#This Row],[Date réception Achat]]),TODAY(),Table1368[[#This Row],[Date réception Achat]])-Table1368[[#This Row],[Date achat]])</f>
        <v>5</v>
      </c>
      <c r="AA381" s="139">
        <f>IF(ISBLANK(Table1368[[#This Row],[Date relisting]]),"",IF(ISBLANK(Table1368[[#This Row],[Date relisting]]),TODAY(),Table1368[[#This Row],[Date relisting]])-Table1368[[#This Row],[Date réception Achat]])</f>
        <v>31</v>
      </c>
      <c r="AB381" s="139">
        <f>IF(ISBLANK(Table1368[[#This Row],[Date revente]]),"",IF(ISBLANK(Table1368[[#This Row],[Date revente]]),TODAY(),Table1368[[#This Row],[Date revente]])-Table1368[[#This Row],[Date relisting]])</f>
      </c>
      <c r="AC381" s="139">
        <f>IF(ISBLANK(Table1368[[#This Row],[Date revente]]),"",IF(ISBLANK(Table1368[[#This Row],[Date revente]]),TODAY(),Table1368[[#This Row],[Date revente]])-Table1368[[#This Row],[Date réception Achat]])</f>
      </c>
      <c r="AD381" s="139">
        <f>IF(ISBLANK(Table1368[[#This Row],[Date revente]]),"",IF(ISBLANK(Table1368[[#This Row],[Date revente]]),TODAY(),Table1368[[#This Row],[Date revente]])-Table1368[[#This Row],[Date achat]])</f>
      </c>
    </row>
    <row r="382" spans="1:30" x14ac:dyDescent="0.25">
      <c r="A382" s="134">
        <v>46241</v>
      </c>
      <c r="B382" s="141" t="s">
        <v>1043</v>
      </c>
      <c r="C382" s="134" t="s">
        <v>1044</v>
      </c>
      <c r="D382" s="156" t="s">
        <v>157</v>
      </c>
      <c r="E382" s="156" t="s">
        <v>29</v>
      </c>
      <c r="F382" s="156" t="s">
        <v>933</v>
      </c>
      <c r="G382" s="134" t="s">
        <v>163</v>
      </c>
      <c r="H382" s="127" t="s">
        <v>178</v>
      </c>
      <c r="I382" s="134" t="s">
        <v>160</v>
      </c>
      <c r="J382" s="134" t="s">
        <v>157</v>
      </c>
      <c r="K382" s="135">
        <v>15</v>
      </c>
      <c r="L382" s="135">
        <f>Table1368[[#This Row],[Prix total Achat]]-Table1368[[#This Row],[Prix article]]</f>
        <v>4.640000000000001</v>
      </c>
      <c r="M382" s="135">
        <v>19.64</v>
      </c>
      <c r="N382" s="134">
        <v>46251</v>
      </c>
      <c r="O382" s="136">
        <f>(Table1368[[#This Row],[Prix total Achat]]*2)</f>
        <v>39.28</v>
      </c>
      <c r="P382" s="136">
        <f>Table1368[[#This Row],[Prix Min voulu (x2 )]]*1.2</f>
        <v>47.136</v>
      </c>
      <c r="Q382" s="134">
        <v>46275</v>
      </c>
      <c r="R382" s="134">
        <v>46287</v>
      </c>
      <c r="S382" s="135">
        <v>99</v>
      </c>
      <c r="T382" s="134" t="s">
        <v>160</v>
      </c>
      <c r="U382" s="134" t="s">
        <v>157</v>
      </c>
      <c r="V382" s="137">
        <f>IF(ISBLANK(Table1368[[#This Row],[Date réception Achat]]),"",IF(ISBLANK(Table1368[[#This Row],[Date revente]]),TODAY(),Table1368[[#This Row],[Date revente]])-Table1368[[#This Row],[Date réception Achat]])</f>
        <v>36</v>
      </c>
      <c r="W38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82" s="135">
        <f>IF(Table1368[[#This Row],[Prix de revente]]="","",Table1368[[#This Row],[Prix de revente]]-Table1368[[#This Row],[Prix total Achat]])</f>
        <v>79.36</v>
      </c>
      <c r="Y382" s="138">
        <f>IF(Table1368[[#This Row],[Prix de revente]]="","",(Table1368[[#This Row],[Prix de revente]]/Table1368[[#This Row],[Prix total Achat]]))</f>
        <v>5.040733197556008</v>
      </c>
      <c r="Z382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82" s="139">
        <f>IF(ISBLANK(Table1368[[#This Row],[Date relisting]]),"",IF(ISBLANK(Table1368[[#This Row],[Date relisting]]),TODAY(),Table1368[[#This Row],[Date relisting]])-Table1368[[#This Row],[Date réception Achat]])</f>
        <v>24</v>
      </c>
      <c r="AB382" s="139">
        <f>IF(ISBLANK(Table1368[[#This Row],[Date revente]]),"",IF(ISBLANK(Table1368[[#This Row],[Date revente]]),TODAY(),Table1368[[#This Row],[Date revente]])-Table1368[[#This Row],[Date relisting]])</f>
        <v>12</v>
      </c>
      <c r="AC382" s="139">
        <f>IF(ISBLANK(Table1368[[#This Row],[Date revente]]),"",IF(ISBLANK(Table1368[[#This Row],[Date revente]]),TODAY(),Table1368[[#This Row],[Date revente]])-Table1368[[#This Row],[Date réception Achat]])</f>
        <v>36</v>
      </c>
      <c r="AD382" s="139">
        <f>IF(ISBLANK(Table1368[[#This Row],[Date revente]]),"",IF(ISBLANK(Table1368[[#This Row],[Date revente]]),TODAY(),Table1368[[#This Row],[Date revente]])-Table1368[[#This Row],[Date achat]])</f>
        <v>46</v>
      </c>
    </row>
    <row r="383" spans="1:30" x14ac:dyDescent="0.25">
      <c r="A383" s="134">
        <v>46271</v>
      </c>
      <c r="B383" s="141" t="s">
        <v>1045</v>
      </c>
      <c r="C383" s="134" t="s">
        <v>1046</v>
      </c>
      <c r="D383" s="156" t="s">
        <v>157</v>
      </c>
      <c r="E383" s="156"/>
      <c r="F383" s="156"/>
      <c r="G383" s="134" t="s">
        <v>163</v>
      </c>
      <c r="H383" s="127" t="s">
        <v>174</v>
      </c>
      <c r="I383" s="134" t="s">
        <v>160</v>
      </c>
      <c r="J383" s="134" t="s">
        <v>157</v>
      </c>
      <c r="K383" s="135">
        <v>27.5</v>
      </c>
      <c r="L383" s="135">
        <f>Table1368[[#This Row],[Prix total Achat]]-Table1368[[#This Row],[Prix article]]</f>
        <v>4.909999999999997</v>
      </c>
      <c r="M383" s="135">
        <v>32.41</v>
      </c>
      <c r="N383" s="134">
        <v>46275</v>
      </c>
      <c r="O383" s="136">
        <f>(Table1368[[#This Row],[Prix total Achat]]*2)</f>
        <v>64.82</v>
      </c>
      <c r="P383" s="136">
        <f>Table1368[[#This Row],[Prix Min voulu (x2 )]]*1.2</f>
        <v>77.78399999999999</v>
      </c>
      <c r="Q383" s="134">
        <v>46276</v>
      </c>
      <c r="R383" s="134"/>
      <c r="S383" s="135"/>
      <c r="T383" s="134"/>
      <c r="U383" s="134" t="s">
        <v>157</v>
      </c>
      <c r="V383" s="137">
        <f>IF(ISBLANK(Table1368[[#This Row],[Date réception Achat]]),"",IF(ISBLANK(Table1368[[#This Row],[Date revente]]),TODAY(),Table1368[[#This Row],[Date revente]])-Table1368[[#This Row],[Date réception Achat]])</f>
        <v>28</v>
      </c>
      <c r="W38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83" s="135">
        <f>IF(Table1368[[#This Row],[Prix de revente]]="","",Table1368[[#This Row],[Prix de revente]]-Table1368[[#This Row],[Prix total Achat]])</f>
      </c>
      <c r="Y383" s="138">
        <f>IF(Table1368[[#This Row],[Prix de revente]]="","",(Table1368[[#This Row],[Prix de revente]]/Table1368[[#This Row],[Prix total Achat]]))</f>
      </c>
      <c r="Z383" s="139">
        <f>IF(ISBLANK(Table1368[[#This Row],[Date réception Achat]]),"",IF(ISBLANK(Table1368[[#This Row],[Date réception Achat]]),TODAY(),Table1368[[#This Row],[Date réception Achat]])-Table1368[[#This Row],[Date achat]])</f>
        <v>4</v>
      </c>
      <c r="AA383" s="139">
        <f>IF(ISBLANK(Table1368[[#This Row],[Date relisting]]),"",IF(ISBLANK(Table1368[[#This Row],[Date relisting]]),TODAY(),Table1368[[#This Row],[Date relisting]])-Table1368[[#This Row],[Date réception Achat]])</f>
        <v>1</v>
      </c>
      <c r="AB383" s="139">
        <f>IF(ISBLANK(Table1368[[#This Row],[Date revente]]),"",IF(ISBLANK(Table1368[[#This Row],[Date revente]]),TODAY(),Table1368[[#This Row],[Date revente]])-Table1368[[#This Row],[Date relisting]])</f>
      </c>
      <c r="AC383" s="139">
        <f>IF(ISBLANK(Table1368[[#This Row],[Date revente]]),"",IF(ISBLANK(Table1368[[#This Row],[Date revente]]),TODAY(),Table1368[[#This Row],[Date revente]])-Table1368[[#This Row],[Date réception Achat]])</f>
      </c>
      <c r="AD383" s="139">
        <f>IF(ISBLANK(Table1368[[#This Row],[Date revente]]),"",IF(ISBLANK(Table1368[[#This Row],[Date revente]]),TODAY(),Table1368[[#This Row],[Date revente]])-Table1368[[#This Row],[Date achat]])</f>
      </c>
    </row>
    <row r="384" spans="1:30" x14ac:dyDescent="0.25">
      <c r="A384" s="134">
        <v>46266</v>
      </c>
      <c r="B384" s="146" t="s">
        <v>1047</v>
      </c>
      <c r="C384" s="134" t="s">
        <v>1048</v>
      </c>
      <c r="D384" s="156" t="s">
        <v>1049</v>
      </c>
      <c r="E384" s="156">
        <v>204</v>
      </c>
      <c r="F384" s="156" t="s">
        <v>765</v>
      </c>
      <c r="G384" s="134" t="s">
        <v>1026</v>
      </c>
      <c r="H384" s="127" t="s">
        <v>1050</v>
      </c>
      <c r="I384" s="134" t="s">
        <v>165</v>
      </c>
      <c r="J384" s="134" t="s">
        <v>157</v>
      </c>
      <c r="K384" s="135">
        <v>22</v>
      </c>
      <c r="L384" s="135">
        <f>Table1368[[#This Row],[Prix total Achat]]-Table1368[[#This Row],[Prix article]]</f>
        <v>20.0973034</v>
      </c>
      <c r="M384" s="135">
        <v>42.0973034</v>
      </c>
      <c r="N384" s="134">
        <v>46276</v>
      </c>
      <c r="O384" s="136">
        <f>(Table1368[[#This Row],[Prix total Achat]]*2)</f>
        <v>84.1946068</v>
      </c>
      <c r="P384" s="136">
        <f>Table1368[[#This Row],[Prix Min voulu (x2 )]]*1.2</f>
        <v>101.03352816</v>
      </c>
      <c r="Q384" s="134">
        <v>46281</v>
      </c>
      <c r="R384" s="134"/>
      <c r="S384" s="135"/>
      <c r="T384" s="134"/>
      <c r="U384" s="134" t="s">
        <v>157</v>
      </c>
      <c r="V384" s="137">
        <f>IF(ISBLANK(Table1368[[#This Row],[Date réception Achat]]),"",IF(ISBLANK(Table1368[[#This Row],[Date revente]]),TODAY(),Table1368[[#This Row],[Date revente]])-Table1368[[#This Row],[Date réception Achat]])</f>
        <v>27</v>
      </c>
      <c r="W38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84" s="135">
        <f>IF(Table1368[[#This Row],[Prix de revente]]="","",Table1368[[#This Row],[Prix de revente]]-Table1368[[#This Row],[Prix total Achat]])</f>
      </c>
      <c r="Y384" s="138">
        <f>IF(Table1368[[#This Row],[Prix de revente]]="","",(Table1368[[#This Row],[Prix de revente]]/Table1368[[#This Row],[Prix total Achat]]))</f>
      </c>
      <c r="Z384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84" s="139">
        <f>IF(ISBLANK(Table1368[[#This Row],[Date relisting]]),"",IF(ISBLANK(Table1368[[#This Row],[Date relisting]]),TODAY(),Table1368[[#This Row],[Date relisting]])-Table1368[[#This Row],[Date réception Achat]])</f>
        <v>5</v>
      </c>
      <c r="AB384" s="139">
        <f>IF(ISBLANK(Table1368[[#This Row],[Date revente]]),"",IF(ISBLANK(Table1368[[#This Row],[Date revente]]),TODAY(),Table1368[[#This Row],[Date revente]])-Table1368[[#This Row],[Date relisting]])</f>
      </c>
      <c r="AC384" s="139">
        <f>IF(ISBLANK(Table1368[[#This Row],[Date revente]]),"",IF(ISBLANK(Table1368[[#This Row],[Date revente]]),TODAY(),Table1368[[#This Row],[Date revente]])-Table1368[[#This Row],[Date réception Achat]])</f>
      </c>
      <c r="AD384" s="139">
        <f>IF(ISBLANK(Table1368[[#This Row],[Date revente]]),"",IF(ISBLANK(Table1368[[#This Row],[Date revente]]),TODAY(),Table1368[[#This Row],[Date revente]])-Table1368[[#This Row],[Date achat]])</f>
      </c>
    </row>
    <row r="385" spans="1:30" x14ac:dyDescent="0.25">
      <c r="A385" s="134">
        <v>46266</v>
      </c>
      <c r="B385" s="146" t="s">
        <v>1051</v>
      </c>
      <c r="C385" s="134" t="s">
        <v>1052</v>
      </c>
      <c r="D385" s="156" t="s">
        <v>1049</v>
      </c>
      <c r="E385" s="156">
        <v>294</v>
      </c>
      <c r="F385" s="156" t="s">
        <v>765</v>
      </c>
      <c r="G385" s="134" t="s">
        <v>1026</v>
      </c>
      <c r="H385" s="127" t="s">
        <v>1050</v>
      </c>
      <c r="I385" s="134" t="s">
        <v>165</v>
      </c>
      <c r="J385" s="134" t="s">
        <v>157</v>
      </c>
      <c r="K385" s="135">
        <v>27.4945</v>
      </c>
      <c r="L385" s="135">
        <f>Table1368[[#This Row],[Prix total Achat]]-Table1368[[#This Row],[Prix article]]</f>
        <v>20.097303399999998</v>
      </c>
      <c r="M385" s="135">
        <v>47.591803399999996</v>
      </c>
      <c r="N385" s="134">
        <v>46276</v>
      </c>
      <c r="O385" s="136">
        <f>(Table1368[[#This Row],[Prix total Achat]]*2)</f>
        <v>95.18360679999999</v>
      </c>
      <c r="P385" s="136">
        <f>Table1368[[#This Row],[Prix Min voulu (x2 )]]*1.2</f>
        <v>114.22032816</v>
      </c>
      <c r="Q385" s="134">
        <v>46282</v>
      </c>
      <c r="R385" s="134"/>
      <c r="S385" s="135"/>
      <c r="T385" s="134"/>
      <c r="U385" s="134" t="s">
        <v>157</v>
      </c>
      <c r="V385" s="137">
        <f>IF(ISBLANK(Table1368[[#This Row],[Date réception Achat]]),"",IF(ISBLANK(Table1368[[#This Row],[Date revente]]),TODAY(),Table1368[[#This Row],[Date revente]])-Table1368[[#This Row],[Date réception Achat]])</f>
        <v>27</v>
      </c>
      <c r="W38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85" s="135">
        <f>IF(Table1368[[#This Row],[Prix de revente]]="","",Table1368[[#This Row],[Prix de revente]]-Table1368[[#This Row],[Prix total Achat]])</f>
      </c>
      <c r="Y385" s="138">
        <f>IF(Table1368[[#This Row],[Prix de revente]]="","",(Table1368[[#This Row],[Prix de revente]]/Table1368[[#This Row],[Prix total Achat]]))</f>
      </c>
      <c r="Z385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85" s="139">
        <f>IF(ISBLANK(Table1368[[#This Row],[Date relisting]]),"",IF(ISBLANK(Table1368[[#This Row],[Date relisting]]),TODAY(),Table1368[[#This Row],[Date relisting]])-Table1368[[#This Row],[Date réception Achat]])</f>
        <v>6</v>
      </c>
      <c r="AB385" s="139">
        <f>IF(ISBLANK(Table1368[[#This Row],[Date revente]]),"",IF(ISBLANK(Table1368[[#This Row],[Date revente]]),TODAY(),Table1368[[#This Row],[Date revente]])-Table1368[[#This Row],[Date relisting]])</f>
      </c>
      <c r="AC385" s="139">
        <f>IF(ISBLANK(Table1368[[#This Row],[Date revente]]),"",IF(ISBLANK(Table1368[[#This Row],[Date revente]]),TODAY(),Table1368[[#This Row],[Date revente]])-Table1368[[#This Row],[Date réception Achat]])</f>
      </c>
      <c r="AD385" s="139">
        <f>IF(ISBLANK(Table1368[[#This Row],[Date revente]]),"",IF(ISBLANK(Table1368[[#This Row],[Date revente]]),TODAY(),Table1368[[#This Row],[Date revente]])-Table1368[[#This Row],[Date achat]])</f>
      </c>
    </row>
    <row r="386" spans="1:30" x14ac:dyDescent="0.25">
      <c r="A386" s="134">
        <v>46266</v>
      </c>
      <c r="B386" s="146" t="s">
        <v>1053</v>
      </c>
      <c r="C386" s="134" t="s">
        <v>1054</v>
      </c>
      <c r="D386" s="156" t="s">
        <v>1049</v>
      </c>
      <c r="E386" s="156">
        <v>192</v>
      </c>
      <c r="F386" s="156" t="s">
        <v>765</v>
      </c>
      <c r="G386" s="134" t="s">
        <v>163</v>
      </c>
      <c r="H386" s="127" t="s">
        <v>174</v>
      </c>
      <c r="I386" s="134" t="s">
        <v>165</v>
      </c>
      <c r="J386" s="134" t="s">
        <v>157</v>
      </c>
      <c r="K386" s="135">
        <v>7.1499999999999995</v>
      </c>
      <c r="L386" s="135">
        <f>Table1368[[#This Row],[Prix total Achat]]-Table1368[[#This Row],[Prix article]]</f>
        <v>20.097303399999998</v>
      </c>
      <c r="M386" s="135">
        <v>27.247303399999996</v>
      </c>
      <c r="N386" s="134">
        <v>46276</v>
      </c>
      <c r="O386" s="136">
        <f>(Table1368[[#This Row],[Prix total Achat]]*2)</f>
        <v>54.49460679999999</v>
      </c>
      <c r="P386" s="136">
        <f>Table1368[[#This Row],[Prix Min voulu (x2 )]]*1.2</f>
        <v>65.39352815999999</v>
      </c>
      <c r="Q386" s="134">
        <v>46282</v>
      </c>
      <c r="R386" s="134"/>
      <c r="S386" s="135"/>
      <c r="T386" s="134"/>
      <c r="U386" s="134" t="s">
        <v>157</v>
      </c>
      <c r="V386" s="137">
        <f>IF(ISBLANK(Table1368[[#This Row],[Date réception Achat]]),"",IF(ISBLANK(Table1368[[#This Row],[Date revente]]),TODAY(),Table1368[[#This Row],[Date revente]])-Table1368[[#This Row],[Date réception Achat]])</f>
        <v>27</v>
      </c>
      <c r="W38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86" s="135">
        <f>IF(Table1368[[#This Row],[Prix de revente]]="","",Table1368[[#This Row],[Prix de revente]]-Table1368[[#This Row],[Prix total Achat]])</f>
      </c>
      <c r="Y386" s="138">
        <f>IF(Table1368[[#This Row],[Prix de revente]]="","",(Table1368[[#This Row],[Prix de revente]]/Table1368[[#This Row],[Prix total Achat]]))</f>
      </c>
      <c r="Z386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86" s="139">
        <f>IF(ISBLANK(Table1368[[#This Row],[Date relisting]]),"",IF(ISBLANK(Table1368[[#This Row],[Date relisting]]),TODAY(),Table1368[[#This Row],[Date relisting]])-Table1368[[#This Row],[Date réception Achat]])</f>
        <v>6</v>
      </c>
      <c r="AB386" s="139">
        <f>IF(ISBLANK(Table1368[[#This Row],[Date revente]]),"",IF(ISBLANK(Table1368[[#This Row],[Date revente]]),TODAY(),Table1368[[#This Row],[Date revente]])-Table1368[[#This Row],[Date relisting]])</f>
      </c>
      <c r="AC386" s="139">
        <f>IF(ISBLANK(Table1368[[#This Row],[Date revente]]),"",IF(ISBLANK(Table1368[[#This Row],[Date revente]]),TODAY(),Table1368[[#This Row],[Date revente]])-Table1368[[#This Row],[Date réception Achat]])</f>
      </c>
      <c r="AD386" s="139">
        <f>IF(ISBLANK(Table1368[[#This Row],[Date revente]]),"",IF(ISBLANK(Table1368[[#This Row],[Date revente]]),TODAY(),Table1368[[#This Row],[Date revente]])-Table1368[[#This Row],[Date achat]])</f>
      </c>
    </row>
    <row r="387" spans="1:30" x14ac:dyDescent="0.25">
      <c r="A387" s="134">
        <v>46266</v>
      </c>
      <c r="B387" s="148" t="s">
        <v>1055</v>
      </c>
      <c r="C387" s="134" t="s">
        <v>1056</v>
      </c>
      <c r="D387" s="156" t="s">
        <v>1049</v>
      </c>
      <c r="E387" s="156">
        <v>142</v>
      </c>
      <c r="F387" s="156" t="s">
        <v>765</v>
      </c>
      <c r="G387" s="134" t="s">
        <v>163</v>
      </c>
      <c r="H387" s="127" t="s">
        <v>194</v>
      </c>
      <c r="I387" s="134" t="s">
        <v>165</v>
      </c>
      <c r="J387" s="134" t="s">
        <v>157</v>
      </c>
      <c r="K387" s="135">
        <v>10.889999999999999</v>
      </c>
      <c r="L387" s="135">
        <f>Table1368[[#This Row],[Prix total Achat]]-Table1368[[#This Row],[Prix article]]</f>
        <v>20.097303399999994</v>
      </c>
      <c r="M387" s="135">
        <v>30.987303399999995</v>
      </c>
      <c r="N387" s="134">
        <v>46276</v>
      </c>
      <c r="O387" s="136">
        <f>(Table1368[[#This Row],[Prix total Achat]]*2)</f>
        <v>61.97460679999999</v>
      </c>
      <c r="P387" s="136">
        <f>Table1368[[#This Row],[Prix Min voulu (x2 )]]*1.2</f>
        <v>74.36952815999999</v>
      </c>
      <c r="Q387" s="134">
        <v>46281</v>
      </c>
      <c r="R387" s="134"/>
      <c r="S387" s="135"/>
      <c r="T387" s="134"/>
      <c r="U387" s="134" t="s">
        <v>157</v>
      </c>
      <c r="V387" s="137">
        <f>IF(ISBLANK(Table1368[[#This Row],[Date réception Achat]]),"",IF(ISBLANK(Table1368[[#This Row],[Date revente]]),TODAY(),Table1368[[#This Row],[Date revente]])-Table1368[[#This Row],[Date réception Achat]])</f>
        <v>27</v>
      </c>
      <c r="W38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87" s="135">
        <f>IF(Table1368[[#This Row],[Prix de revente]]="","",Table1368[[#This Row],[Prix de revente]]-Table1368[[#This Row],[Prix total Achat]])</f>
      </c>
      <c r="Y387" s="138">
        <f>IF(Table1368[[#This Row],[Prix de revente]]="","",(Table1368[[#This Row],[Prix de revente]]/Table1368[[#This Row],[Prix total Achat]]))</f>
      </c>
      <c r="Z387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87" s="139">
        <f>IF(ISBLANK(Table1368[[#This Row],[Date relisting]]),"",IF(ISBLANK(Table1368[[#This Row],[Date relisting]]),TODAY(),Table1368[[#This Row],[Date relisting]])-Table1368[[#This Row],[Date réception Achat]])</f>
        <v>5</v>
      </c>
      <c r="AB387" s="139">
        <f>IF(ISBLANK(Table1368[[#This Row],[Date revente]]),"",IF(ISBLANK(Table1368[[#This Row],[Date revente]]),TODAY(),Table1368[[#This Row],[Date revente]])-Table1368[[#This Row],[Date relisting]])</f>
      </c>
      <c r="AC387" s="139">
        <f>IF(ISBLANK(Table1368[[#This Row],[Date revente]]),"",IF(ISBLANK(Table1368[[#This Row],[Date revente]]),TODAY(),Table1368[[#This Row],[Date revente]])-Table1368[[#This Row],[Date réception Achat]])</f>
      </c>
      <c r="AD387" s="139">
        <f>IF(ISBLANK(Table1368[[#This Row],[Date revente]]),"",IF(ISBLANK(Table1368[[#This Row],[Date revente]]),TODAY(),Table1368[[#This Row],[Date revente]])-Table1368[[#This Row],[Date achat]])</f>
      </c>
    </row>
    <row r="388" spans="1:30" x14ac:dyDescent="0.25">
      <c r="A388" s="134">
        <v>46266</v>
      </c>
      <c r="B388" s="148" t="s">
        <v>1057</v>
      </c>
      <c r="C388" s="134" t="s">
        <v>1058</v>
      </c>
      <c r="D388" s="156" t="s">
        <v>1049</v>
      </c>
      <c r="E388" s="156">
        <v>328</v>
      </c>
      <c r="F388" s="156" t="s">
        <v>765</v>
      </c>
      <c r="G388" s="134" t="s">
        <v>936</v>
      </c>
      <c r="H388" s="127" t="s">
        <v>428</v>
      </c>
      <c r="I388" s="134" t="s">
        <v>165</v>
      </c>
      <c r="J388" s="134" t="s">
        <v>157</v>
      </c>
      <c r="K388" s="135">
        <v>25.849999999999998</v>
      </c>
      <c r="L388" s="135">
        <f>Table1368[[#This Row],[Prix total Achat]]-Table1368[[#This Row],[Prix article]]</f>
        <v>20.097303399999998</v>
      </c>
      <c r="M388" s="135">
        <v>45.947303399999996</v>
      </c>
      <c r="N388" s="134">
        <v>46276</v>
      </c>
      <c r="O388" s="136">
        <f>(Table1368[[#This Row],[Prix total Achat]]*2)</f>
        <v>91.89460679999999</v>
      </c>
      <c r="P388" s="136">
        <f>Table1368[[#This Row],[Prix Min voulu (x2 )]]*1.2</f>
        <v>110.27352815999998</v>
      </c>
      <c r="Q388" s="134">
        <v>46282</v>
      </c>
      <c r="R388" s="134">
        <v>46301</v>
      </c>
      <c r="S388" s="135">
        <v>105</v>
      </c>
      <c r="T388" s="134" t="s">
        <v>160</v>
      </c>
      <c r="U388" s="134" t="s">
        <v>157</v>
      </c>
      <c r="V388" s="137">
        <f>IF(ISBLANK(Table1368[[#This Row],[Date réception Achat]]),"",IF(ISBLANK(Table1368[[#This Row],[Date revente]]),TODAY(),Table1368[[#This Row],[Date revente]])-Table1368[[#This Row],[Date réception Achat]])</f>
        <v>25</v>
      </c>
      <c r="W38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88" s="135">
        <f>IF(Table1368[[#This Row],[Prix de revente]]="","",Table1368[[#This Row],[Prix de revente]]-Table1368[[#This Row],[Prix total Achat]])</f>
        <v>59.052696600000004</v>
      </c>
      <c r="Y388" s="138">
        <f>IF(Table1368[[#This Row],[Prix de revente]]="","",(Table1368[[#This Row],[Prix de revente]]/Table1368[[#This Row],[Prix total Achat]]))</f>
        <v>2.2852266015680915</v>
      </c>
      <c r="Z388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88" s="139">
        <f>IF(ISBLANK(Table1368[[#This Row],[Date relisting]]),"",IF(ISBLANK(Table1368[[#This Row],[Date relisting]]),TODAY(),Table1368[[#This Row],[Date relisting]])-Table1368[[#This Row],[Date réception Achat]])</f>
        <v>6</v>
      </c>
      <c r="AB388" s="139">
        <f>IF(ISBLANK(Table1368[[#This Row],[Date revente]]),"",IF(ISBLANK(Table1368[[#This Row],[Date revente]]),TODAY(),Table1368[[#This Row],[Date revente]])-Table1368[[#This Row],[Date relisting]])</f>
        <v>19</v>
      </c>
      <c r="AC388" s="139">
        <f>IF(ISBLANK(Table1368[[#This Row],[Date revente]]),"",IF(ISBLANK(Table1368[[#This Row],[Date revente]]),TODAY(),Table1368[[#This Row],[Date revente]])-Table1368[[#This Row],[Date réception Achat]])</f>
        <v>25</v>
      </c>
      <c r="AD388" s="139">
        <f>IF(ISBLANK(Table1368[[#This Row],[Date revente]]),"",IF(ISBLANK(Table1368[[#This Row],[Date revente]]),TODAY(),Table1368[[#This Row],[Date revente]])-Table1368[[#This Row],[Date achat]])</f>
        <v>35</v>
      </c>
    </row>
    <row r="389" spans="1:30" x14ac:dyDescent="0.25">
      <c r="A389" s="134">
        <v>46266</v>
      </c>
      <c r="B389" s="148" t="s">
        <v>1059</v>
      </c>
      <c r="C389" s="134" t="s">
        <v>1060</v>
      </c>
      <c r="D389" s="156" t="s">
        <v>1049</v>
      </c>
      <c r="E389" s="156">
        <v>348</v>
      </c>
      <c r="F389" s="156" t="s">
        <v>765</v>
      </c>
      <c r="G389" s="134" t="s">
        <v>163</v>
      </c>
      <c r="H389" s="127" t="s">
        <v>178</v>
      </c>
      <c r="I389" s="134" t="s">
        <v>165</v>
      </c>
      <c r="J389" s="134" t="s">
        <v>157</v>
      </c>
      <c r="K389" s="135">
        <v>16.5</v>
      </c>
      <c r="L389" s="135">
        <f>Table1368[[#This Row],[Prix total Achat]]-Table1368[[#This Row],[Prix article]]</f>
        <v>20.0973034</v>
      </c>
      <c r="M389" s="135">
        <v>36.5973034</v>
      </c>
      <c r="N389" s="134">
        <v>46276</v>
      </c>
      <c r="O389" s="136">
        <f>(Table1368[[#This Row],[Prix total Achat]]*2)</f>
        <v>73.1946068</v>
      </c>
      <c r="P389" s="136">
        <f>Table1368[[#This Row],[Prix Min voulu (x2 )]]*1.2</f>
        <v>87.83352816</v>
      </c>
      <c r="Q389" s="134">
        <v>46282</v>
      </c>
      <c r="R389" s="134">
        <v>46297</v>
      </c>
      <c r="S389" s="135">
        <v>85</v>
      </c>
      <c r="T389" s="134" t="s">
        <v>160</v>
      </c>
      <c r="U389" s="134" t="s">
        <v>157</v>
      </c>
      <c r="V389" s="137">
        <f>IF(ISBLANK(Table1368[[#This Row],[Date réception Achat]]),"",IF(ISBLANK(Table1368[[#This Row],[Date revente]]),TODAY(),Table1368[[#This Row],[Date revente]])-Table1368[[#This Row],[Date réception Achat]])</f>
        <v>21</v>
      </c>
      <c r="W38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89" s="135">
        <f>IF(Table1368[[#This Row],[Prix de revente]]="","",Table1368[[#This Row],[Prix de revente]]-Table1368[[#This Row],[Prix total Achat]])</f>
        <v>48.4026966</v>
      </c>
      <c r="Y389" s="138">
        <f>IF(Table1368[[#This Row],[Prix de revente]]="","",(Table1368[[#This Row],[Prix de revente]]/Table1368[[#This Row],[Prix total Achat]]))</f>
        <v>2.3225754933627156</v>
      </c>
      <c r="Z389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89" s="139">
        <f>IF(ISBLANK(Table1368[[#This Row],[Date relisting]]),"",IF(ISBLANK(Table1368[[#This Row],[Date relisting]]),TODAY(),Table1368[[#This Row],[Date relisting]])-Table1368[[#This Row],[Date réception Achat]])</f>
        <v>6</v>
      </c>
      <c r="AB389" s="139">
        <f>IF(ISBLANK(Table1368[[#This Row],[Date revente]]),"",IF(ISBLANK(Table1368[[#This Row],[Date revente]]),TODAY(),Table1368[[#This Row],[Date revente]])-Table1368[[#This Row],[Date relisting]])</f>
        <v>15</v>
      </c>
      <c r="AC389" s="139">
        <f>IF(ISBLANK(Table1368[[#This Row],[Date revente]]),"",IF(ISBLANK(Table1368[[#This Row],[Date revente]]),TODAY(),Table1368[[#This Row],[Date revente]])-Table1368[[#This Row],[Date réception Achat]])</f>
        <v>21</v>
      </c>
      <c r="AD389" s="139">
        <f>IF(ISBLANK(Table1368[[#This Row],[Date revente]]),"",IF(ISBLANK(Table1368[[#This Row],[Date revente]]),TODAY(),Table1368[[#This Row],[Date revente]])-Table1368[[#This Row],[Date achat]])</f>
        <v>31</v>
      </c>
    </row>
    <row r="390" spans="1:30" x14ac:dyDescent="0.25">
      <c r="A390" s="134">
        <v>46266</v>
      </c>
      <c r="B390" s="148" t="s">
        <v>1061</v>
      </c>
      <c r="C390" s="134" t="s">
        <v>1062</v>
      </c>
      <c r="D390" s="156" t="s">
        <v>1049</v>
      </c>
      <c r="E390" s="156">
        <v>326</v>
      </c>
      <c r="F390" s="156" t="s">
        <v>765</v>
      </c>
      <c r="G390" s="134" t="s">
        <v>392</v>
      </c>
      <c r="H390" s="127" t="s">
        <v>194</v>
      </c>
      <c r="I390" s="134" t="s">
        <v>165</v>
      </c>
      <c r="J390" s="134" t="s">
        <v>157</v>
      </c>
      <c r="K390" s="135">
        <v>15.399999999999999</v>
      </c>
      <c r="L390" s="135">
        <f>Table1368[[#This Row],[Prix total Achat]]-Table1368[[#This Row],[Prix article]]</f>
        <v>20.097303399999994</v>
      </c>
      <c r="M390" s="135">
        <v>35.49730339999999</v>
      </c>
      <c r="N390" s="134">
        <v>46276</v>
      </c>
      <c r="O390" s="136">
        <f>(Table1368[[#This Row],[Prix total Achat]]*2)</f>
        <v>70.99460679999999</v>
      </c>
      <c r="P390" s="136">
        <f>Table1368[[#This Row],[Prix Min voulu (x2 )]]*1.2</f>
        <v>85.19352815999999</v>
      </c>
      <c r="Q390" s="134">
        <v>46282</v>
      </c>
      <c r="R390" s="134">
        <v>46283</v>
      </c>
      <c r="S390" s="135">
        <v>99</v>
      </c>
      <c r="T390" s="134" t="s">
        <v>160</v>
      </c>
      <c r="U390" s="134" t="s">
        <v>157</v>
      </c>
      <c r="V390" s="137">
        <f>IF(ISBLANK(Table1368[[#This Row],[Date réception Achat]]),"",IF(ISBLANK(Table1368[[#This Row],[Date revente]]),TODAY(),Table1368[[#This Row],[Date revente]])-Table1368[[#This Row],[Date réception Achat]])</f>
        <v>7</v>
      </c>
      <c r="W39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90" s="135">
        <f>IF(Table1368[[#This Row],[Prix de revente]]="","",Table1368[[#This Row],[Prix de revente]]-Table1368[[#This Row],[Prix total Achat]])</f>
        <v>63.50269660000001</v>
      </c>
      <c r="Y390" s="138">
        <f>IF(Table1368[[#This Row],[Prix de revente]]="","",(Table1368[[#This Row],[Prix de revente]]/Table1368[[#This Row],[Prix total Achat]]))</f>
        <v>2.788944244142219</v>
      </c>
      <c r="Z390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90" s="139">
        <f>IF(ISBLANK(Table1368[[#This Row],[Date relisting]]),"",IF(ISBLANK(Table1368[[#This Row],[Date relisting]]),TODAY(),Table1368[[#This Row],[Date relisting]])-Table1368[[#This Row],[Date réception Achat]])</f>
        <v>6</v>
      </c>
      <c r="AB390" s="139">
        <f>IF(ISBLANK(Table1368[[#This Row],[Date revente]]),"",IF(ISBLANK(Table1368[[#This Row],[Date revente]]),TODAY(),Table1368[[#This Row],[Date revente]])-Table1368[[#This Row],[Date relisting]])</f>
        <v>1</v>
      </c>
      <c r="AC390" s="139">
        <f>IF(ISBLANK(Table1368[[#This Row],[Date revente]]),"",IF(ISBLANK(Table1368[[#This Row],[Date revente]]),TODAY(),Table1368[[#This Row],[Date revente]])-Table1368[[#This Row],[Date réception Achat]])</f>
        <v>7</v>
      </c>
      <c r="AD390" s="139">
        <f>IF(ISBLANK(Table1368[[#This Row],[Date revente]]),"",IF(ISBLANK(Table1368[[#This Row],[Date revente]]),TODAY(),Table1368[[#This Row],[Date revente]])-Table1368[[#This Row],[Date achat]])</f>
        <v>17</v>
      </c>
    </row>
    <row r="391" spans="1:30" x14ac:dyDescent="0.25">
      <c r="A391" s="134">
        <v>46266</v>
      </c>
      <c r="B391" s="148" t="s">
        <v>1063</v>
      </c>
      <c r="C391" s="134" t="s">
        <v>1064</v>
      </c>
      <c r="D391" s="156" t="s">
        <v>1049</v>
      </c>
      <c r="E391" s="156">
        <v>266</v>
      </c>
      <c r="F391" s="156" t="s">
        <v>765</v>
      </c>
      <c r="G391" s="134" t="s">
        <v>1026</v>
      </c>
      <c r="H391" s="127" t="s">
        <v>1065</v>
      </c>
      <c r="I391" s="134" t="s">
        <v>165</v>
      </c>
      <c r="J391" s="134" t="s">
        <v>157</v>
      </c>
      <c r="K391" s="135">
        <v>6.654999999999999</v>
      </c>
      <c r="L391" s="135">
        <f>Table1368[[#This Row],[Prix total Achat]]-Table1368[[#This Row],[Prix article]]</f>
        <v>20.097303399999994</v>
      </c>
      <c r="M391" s="135">
        <v>26.752303399999995</v>
      </c>
      <c r="N391" s="134">
        <v>46276</v>
      </c>
      <c r="O391" s="136">
        <f>(Table1368[[#This Row],[Prix total Achat]]*2)</f>
        <v>53.50460679999999</v>
      </c>
      <c r="P391" s="136">
        <f>Table1368[[#This Row],[Prix Min voulu (x2 )]]*1.2</f>
        <v>64.20552815999999</v>
      </c>
      <c r="Q391" s="134">
        <v>46282</v>
      </c>
      <c r="R391" s="134">
        <v>46296</v>
      </c>
      <c r="S391" s="135">
        <v>80</v>
      </c>
      <c r="T391" s="134" t="s">
        <v>160</v>
      </c>
      <c r="U391" s="134" t="s">
        <v>157</v>
      </c>
      <c r="V391" s="137">
        <f>IF(ISBLANK(Table1368[[#This Row],[Date réception Achat]]),"",IF(ISBLANK(Table1368[[#This Row],[Date revente]]),TODAY(),Table1368[[#This Row],[Date revente]])-Table1368[[#This Row],[Date réception Achat]])</f>
        <v>20</v>
      </c>
      <c r="W39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91" s="135">
        <f>IF(Table1368[[#This Row],[Prix de revente]]="","",Table1368[[#This Row],[Prix de revente]]-Table1368[[#This Row],[Prix total Achat]])</f>
        <v>53.247696600000005</v>
      </c>
      <c r="Y391" s="138">
        <f>IF(Table1368[[#This Row],[Prix de revente]]="","",(Table1368[[#This Row],[Prix de revente]]/Table1368[[#This Row],[Prix total Achat]]))</f>
        <v>2.9903967072981095</v>
      </c>
      <c r="Z391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91" s="139">
        <f>IF(ISBLANK(Table1368[[#This Row],[Date relisting]]),"",IF(ISBLANK(Table1368[[#This Row],[Date relisting]]),TODAY(),Table1368[[#This Row],[Date relisting]])-Table1368[[#This Row],[Date réception Achat]])</f>
        <v>6</v>
      </c>
      <c r="AB391" s="139">
        <f>IF(ISBLANK(Table1368[[#This Row],[Date revente]]),"",IF(ISBLANK(Table1368[[#This Row],[Date revente]]),TODAY(),Table1368[[#This Row],[Date revente]])-Table1368[[#This Row],[Date relisting]])</f>
        <v>14</v>
      </c>
      <c r="AC391" s="139">
        <f>IF(ISBLANK(Table1368[[#This Row],[Date revente]]),"",IF(ISBLANK(Table1368[[#This Row],[Date revente]]),TODAY(),Table1368[[#This Row],[Date revente]])-Table1368[[#This Row],[Date réception Achat]])</f>
        <v>20</v>
      </c>
      <c r="AD391" s="139">
        <f>IF(ISBLANK(Table1368[[#This Row],[Date revente]]),"",IF(ISBLANK(Table1368[[#This Row],[Date revente]]),TODAY(),Table1368[[#This Row],[Date revente]])-Table1368[[#This Row],[Date achat]])</f>
        <v>30</v>
      </c>
    </row>
    <row r="392" spans="1:30" x14ac:dyDescent="0.25">
      <c r="A392" s="134">
        <v>46266</v>
      </c>
      <c r="B392" s="148" t="s">
        <v>1066</v>
      </c>
      <c r="C392" s="134" t="s">
        <v>1067</v>
      </c>
      <c r="D392" s="156" t="s">
        <v>1049</v>
      </c>
      <c r="E392" s="156">
        <v>176</v>
      </c>
      <c r="F392" s="156" t="s">
        <v>765</v>
      </c>
      <c r="G392" s="134" t="s">
        <v>1068</v>
      </c>
      <c r="H392" s="127" t="s">
        <v>1065</v>
      </c>
      <c r="I392" s="134" t="s">
        <v>165</v>
      </c>
      <c r="J392" s="134" t="s">
        <v>157</v>
      </c>
      <c r="K392" s="135">
        <v>11</v>
      </c>
      <c r="L392" s="135">
        <f>Table1368[[#This Row],[Prix total Achat]]-Table1368[[#This Row],[Prix article]]</f>
        <v>20.097303399999998</v>
      </c>
      <c r="M392" s="135">
        <v>31.097303399999998</v>
      </c>
      <c r="N392" s="134">
        <v>46276</v>
      </c>
      <c r="O392" s="136">
        <f>(Table1368[[#This Row],[Prix total Achat]]*2)</f>
        <v>62.194606799999995</v>
      </c>
      <c r="P392" s="136">
        <f>Table1368[[#This Row],[Prix Min voulu (x2 )]]*1.2</f>
        <v>74.63352816</v>
      </c>
      <c r="Q392" s="134">
        <v>46281</v>
      </c>
      <c r="R392" s="134"/>
      <c r="S392" s="135"/>
      <c r="T392" s="134"/>
      <c r="U392" s="134" t="s">
        <v>157</v>
      </c>
      <c r="V392" s="137">
        <f>IF(ISBLANK(Table1368[[#This Row],[Date réception Achat]]),"",IF(ISBLANK(Table1368[[#This Row],[Date revente]]),TODAY(),Table1368[[#This Row],[Date revente]])-Table1368[[#This Row],[Date réception Achat]])</f>
        <v>27</v>
      </c>
      <c r="W39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92" s="135">
        <f>IF(Table1368[[#This Row],[Prix de revente]]="","",Table1368[[#This Row],[Prix de revente]]-Table1368[[#This Row],[Prix total Achat]])</f>
      </c>
      <c r="Y392" s="138">
        <f>IF(Table1368[[#This Row],[Prix de revente]]="","",(Table1368[[#This Row],[Prix de revente]]/Table1368[[#This Row],[Prix total Achat]]))</f>
      </c>
      <c r="Z392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92" s="139">
        <f>IF(ISBLANK(Table1368[[#This Row],[Date relisting]]),"",IF(ISBLANK(Table1368[[#This Row],[Date relisting]]),TODAY(),Table1368[[#This Row],[Date relisting]])-Table1368[[#This Row],[Date réception Achat]])</f>
        <v>5</v>
      </c>
      <c r="AB392" s="139">
        <f>IF(ISBLANK(Table1368[[#This Row],[Date revente]]),"",IF(ISBLANK(Table1368[[#This Row],[Date revente]]),TODAY(),Table1368[[#This Row],[Date revente]])-Table1368[[#This Row],[Date relisting]])</f>
      </c>
      <c r="AC392" s="139">
        <f>IF(ISBLANK(Table1368[[#This Row],[Date revente]]),"",IF(ISBLANK(Table1368[[#This Row],[Date revente]]),TODAY(),Table1368[[#This Row],[Date revente]])-Table1368[[#This Row],[Date réception Achat]])</f>
      </c>
      <c r="AD392" s="139">
        <f>IF(ISBLANK(Table1368[[#This Row],[Date revente]]),"",IF(ISBLANK(Table1368[[#This Row],[Date revente]]),TODAY(),Table1368[[#This Row],[Date revente]])-Table1368[[#This Row],[Date achat]])</f>
      </c>
    </row>
    <row r="393" spans="1:30" x14ac:dyDescent="0.25">
      <c r="A393" s="134">
        <v>46266</v>
      </c>
      <c r="B393" s="148" t="s">
        <v>783</v>
      </c>
      <c r="C393" s="134" t="s">
        <v>1069</v>
      </c>
      <c r="D393" s="156" t="s">
        <v>1049</v>
      </c>
      <c r="E393" s="156">
        <v>266</v>
      </c>
      <c r="F393" s="156" t="s">
        <v>1070</v>
      </c>
      <c r="G393" s="134" t="s">
        <v>163</v>
      </c>
      <c r="H393" s="127" t="s">
        <v>178</v>
      </c>
      <c r="I393" s="134" t="s">
        <v>165</v>
      </c>
      <c r="J393" s="134" t="s">
        <v>157</v>
      </c>
      <c r="K393" s="135">
        <v>8.799999999999999</v>
      </c>
      <c r="L393" s="135">
        <f>Table1368[[#This Row],[Prix total Achat]]-Table1368[[#This Row],[Prix article]]</f>
        <v>20.0973034</v>
      </c>
      <c r="M393" s="135">
        <v>28.8973034</v>
      </c>
      <c r="N393" s="134">
        <v>46276</v>
      </c>
      <c r="O393" s="136">
        <f>(Table1368[[#This Row],[Prix total Achat]]*2)</f>
        <v>57.7946068</v>
      </c>
      <c r="P393" s="136">
        <f>Table1368[[#This Row],[Prix Min voulu (x2 )]]*1.2</f>
        <v>69.35352816</v>
      </c>
      <c r="Q393" s="134">
        <v>46282</v>
      </c>
      <c r="R393" s="134"/>
      <c r="S393" s="135"/>
      <c r="T393" s="134"/>
      <c r="U393" s="134" t="s">
        <v>157</v>
      </c>
      <c r="V393" s="137">
        <f>IF(ISBLANK(Table1368[[#This Row],[Date réception Achat]]),"",IF(ISBLANK(Table1368[[#This Row],[Date revente]]),TODAY(),Table1368[[#This Row],[Date revente]])-Table1368[[#This Row],[Date réception Achat]])</f>
        <v>27</v>
      </c>
      <c r="W39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93" s="135">
        <f>IF(Table1368[[#This Row],[Prix de revente]]="","",Table1368[[#This Row],[Prix de revente]]-Table1368[[#This Row],[Prix total Achat]])</f>
      </c>
      <c r="Y393" s="138">
        <f>IF(Table1368[[#This Row],[Prix de revente]]="","",(Table1368[[#This Row],[Prix de revente]]/Table1368[[#This Row],[Prix total Achat]]))</f>
      </c>
      <c r="Z393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93" s="139">
        <f>IF(ISBLANK(Table1368[[#This Row],[Date relisting]]),"",IF(ISBLANK(Table1368[[#This Row],[Date relisting]]),TODAY(),Table1368[[#This Row],[Date relisting]])-Table1368[[#This Row],[Date réception Achat]])</f>
        <v>6</v>
      </c>
      <c r="AB393" s="139">
        <f>IF(ISBLANK(Table1368[[#This Row],[Date revente]]),"",IF(ISBLANK(Table1368[[#This Row],[Date revente]]),TODAY(),Table1368[[#This Row],[Date revente]])-Table1368[[#This Row],[Date relisting]])</f>
      </c>
      <c r="AC393" s="139">
        <f>IF(ISBLANK(Table1368[[#This Row],[Date revente]]),"",IF(ISBLANK(Table1368[[#This Row],[Date revente]]),TODAY(),Table1368[[#This Row],[Date revente]])-Table1368[[#This Row],[Date réception Achat]])</f>
      </c>
      <c r="AD393" s="139">
        <f>IF(ISBLANK(Table1368[[#This Row],[Date revente]]),"",IF(ISBLANK(Table1368[[#This Row],[Date revente]]),TODAY(),Table1368[[#This Row],[Date revente]])-Table1368[[#This Row],[Date achat]])</f>
      </c>
    </row>
    <row r="394" spans="1:30" x14ac:dyDescent="0.25">
      <c r="A394" s="134">
        <v>46278</v>
      </c>
      <c r="B394" s="141" t="s">
        <v>1071</v>
      </c>
      <c r="C394" s="134" t="s">
        <v>1072</v>
      </c>
      <c r="D394" s="156" t="s">
        <v>157</v>
      </c>
      <c r="E394" s="156" t="s">
        <v>29</v>
      </c>
      <c r="F394" s="156" t="s">
        <v>1073</v>
      </c>
      <c r="G394" s="134" t="s">
        <v>701</v>
      </c>
      <c r="H394" s="127" t="s">
        <v>874</v>
      </c>
      <c r="I394" s="134" t="s">
        <v>160</v>
      </c>
      <c r="J394" s="134" t="s">
        <v>157</v>
      </c>
      <c r="K394" s="135">
        <v>25</v>
      </c>
      <c r="L394" s="135">
        <f>Table1368[[#This Row],[Prix total Achat]]-Table1368[[#This Row],[Prix article]]</f>
        <v>7.450000000000003</v>
      </c>
      <c r="M394" s="135">
        <v>32.45</v>
      </c>
      <c r="N394" s="134">
        <v>46288</v>
      </c>
      <c r="O394" s="136">
        <f>(Table1368[[#This Row],[Prix total Achat]]*2)</f>
        <v>64.9</v>
      </c>
      <c r="P394" s="136">
        <f>Table1368[[#This Row],[Prix Min voulu (x2 )]]*1.2</f>
        <v>77.88000000000001</v>
      </c>
      <c r="Q394" s="134">
        <v>46296</v>
      </c>
      <c r="R394" s="134">
        <v>46296</v>
      </c>
      <c r="S394" s="135">
        <v>115</v>
      </c>
      <c r="T394" s="134" t="s">
        <v>160</v>
      </c>
      <c r="U394" s="134" t="s">
        <v>157</v>
      </c>
      <c r="V394" s="137">
        <f>IF(ISBLANK(Table1368[[#This Row],[Date réception Achat]]),"",IF(ISBLANK(Table1368[[#This Row],[Date revente]]),TODAY(),Table1368[[#This Row],[Date revente]])-Table1368[[#This Row],[Date réception Achat]])</f>
        <v>8</v>
      </c>
      <c r="W39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94" s="135">
        <f>IF(Table1368[[#This Row],[Prix de revente]]="","",Table1368[[#This Row],[Prix de revente]]-Table1368[[#This Row],[Prix total Achat]])</f>
        <v>82.55</v>
      </c>
      <c r="Y394" s="138">
        <f>IF(Table1368[[#This Row],[Prix de revente]]="","",(Table1368[[#This Row],[Prix de revente]]/Table1368[[#This Row],[Prix total Achat]]))</f>
        <v>3.5439137134052383</v>
      </c>
      <c r="Z394" s="139">
        <f>IF(ISBLANK(Table1368[[#This Row],[Date réception Achat]]),"",IF(ISBLANK(Table1368[[#This Row],[Date réception Achat]]),TODAY(),Table1368[[#This Row],[Date réception Achat]])-Table1368[[#This Row],[Date achat]])</f>
        <v>10</v>
      </c>
      <c r="AA394" s="139">
        <f>IF(ISBLANK(Table1368[[#This Row],[Date relisting]]),"",IF(ISBLANK(Table1368[[#This Row],[Date relisting]]),TODAY(),Table1368[[#This Row],[Date relisting]])-Table1368[[#This Row],[Date réception Achat]])</f>
        <v>8</v>
      </c>
      <c r="AB394" s="139">
        <f>IF(ISBLANK(Table1368[[#This Row],[Date revente]]),"",IF(ISBLANK(Table1368[[#This Row],[Date revente]]),TODAY(),Table1368[[#This Row],[Date revente]])-Table1368[[#This Row],[Date relisting]])</f>
        <v>0</v>
      </c>
      <c r="AC394" s="139">
        <f>IF(ISBLANK(Table1368[[#This Row],[Date revente]]),"",IF(ISBLANK(Table1368[[#This Row],[Date revente]]),TODAY(),Table1368[[#This Row],[Date revente]])-Table1368[[#This Row],[Date réception Achat]])</f>
        <v>8</v>
      </c>
      <c r="AD394" s="139">
        <f>IF(ISBLANK(Table1368[[#This Row],[Date revente]]),"",IF(ISBLANK(Table1368[[#This Row],[Date revente]]),TODAY(),Table1368[[#This Row],[Date revente]])-Table1368[[#This Row],[Date achat]])</f>
        <v>18</v>
      </c>
    </row>
    <row r="395" spans="1:30" x14ac:dyDescent="0.25">
      <c r="A395" s="134">
        <v>46284</v>
      </c>
      <c r="B395" s="141" t="s">
        <v>1074</v>
      </c>
      <c r="C395" s="134" t="s">
        <v>1075</v>
      </c>
      <c r="D395" s="156" t="s">
        <v>157</v>
      </c>
      <c r="E395" s="156" t="s">
        <v>29</v>
      </c>
      <c r="F395" s="156" t="s">
        <v>1076</v>
      </c>
      <c r="G395" s="134" t="s">
        <v>882</v>
      </c>
      <c r="H395" s="127" t="s">
        <v>213</v>
      </c>
      <c r="I395" s="134" t="s">
        <v>160</v>
      </c>
      <c r="J395" s="134" t="s">
        <v>157</v>
      </c>
      <c r="K395" s="135">
        <v>10</v>
      </c>
      <c r="L395" s="135">
        <f>Table1368[[#This Row],[Prix total Achat]]-Table1368[[#This Row],[Prix article]]</f>
        <v>4.949999999999999</v>
      </c>
      <c r="M395" s="135">
        <v>14.95</v>
      </c>
      <c r="N395" s="134">
        <v>46293</v>
      </c>
      <c r="O395" s="136">
        <f>(Table1368[[#This Row],[Prix total Achat]]*2)</f>
        <v>29.9</v>
      </c>
      <c r="P395" s="136">
        <f>Table1368[[#This Row],[Prix Min voulu (x2 )]]*1.2</f>
        <v>35.879999999999995</v>
      </c>
      <c r="Q395" s="134">
        <v>46296</v>
      </c>
      <c r="R395" s="134">
        <v>46296</v>
      </c>
      <c r="S395" s="135">
        <v>110</v>
      </c>
      <c r="T395" s="134" t="s">
        <v>160</v>
      </c>
      <c r="U395" s="134" t="s">
        <v>157</v>
      </c>
      <c r="V395" s="137">
        <f>IF(ISBLANK(Table1368[[#This Row],[Date réception Achat]]),"",IF(ISBLANK(Table1368[[#This Row],[Date revente]]),TODAY(),Table1368[[#This Row],[Date revente]])-Table1368[[#This Row],[Date réception Achat]])</f>
        <v>3</v>
      </c>
      <c r="W39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Vendu (clôturé)</v>
      </c>
      <c r="X395" s="135">
        <f>IF(Table1368[[#This Row],[Prix de revente]]="","",Table1368[[#This Row],[Prix de revente]]-Table1368[[#This Row],[Prix total Achat]])</f>
        <v>95.05</v>
      </c>
      <c r="Y395" s="138">
        <f>IF(Table1368[[#This Row],[Prix de revente]]="","",(Table1368[[#This Row],[Prix de revente]]/Table1368[[#This Row],[Prix total Achat]]))</f>
        <v>7.357859531772576</v>
      </c>
      <c r="Z395" s="139">
        <f>IF(ISBLANK(Table1368[[#This Row],[Date réception Achat]]),"",IF(ISBLANK(Table1368[[#This Row],[Date réception Achat]]),TODAY(),Table1368[[#This Row],[Date réception Achat]])-Table1368[[#This Row],[Date achat]])</f>
        <v>9</v>
      </c>
      <c r="AA395" s="139">
        <f>IF(ISBLANK(Table1368[[#This Row],[Date relisting]]),"",IF(ISBLANK(Table1368[[#This Row],[Date relisting]]),TODAY(),Table1368[[#This Row],[Date relisting]])-Table1368[[#This Row],[Date réception Achat]])</f>
        <v>3</v>
      </c>
      <c r="AB395" s="139">
        <f>IF(ISBLANK(Table1368[[#This Row],[Date revente]]),"",IF(ISBLANK(Table1368[[#This Row],[Date revente]]),TODAY(),Table1368[[#This Row],[Date revente]])-Table1368[[#This Row],[Date relisting]])</f>
        <v>0</v>
      </c>
      <c r="AC395" s="139">
        <f>IF(ISBLANK(Table1368[[#This Row],[Date revente]]),"",IF(ISBLANK(Table1368[[#This Row],[Date revente]]),TODAY(),Table1368[[#This Row],[Date revente]])-Table1368[[#This Row],[Date réception Achat]])</f>
        <v>3</v>
      </c>
      <c r="AD395" s="139">
        <f>IF(ISBLANK(Table1368[[#This Row],[Date revente]]),"",IF(ISBLANK(Table1368[[#This Row],[Date revente]]),TODAY(),Table1368[[#This Row],[Date revente]])-Table1368[[#This Row],[Date achat]])</f>
        <v>12</v>
      </c>
    </row>
    <row r="396" spans="1:30" x14ac:dyDescent="0.25">
      <c r="A396" s="134">
        <v>46288</v>
      </c>
      <c r="B396" s="141" t="s">
        <v>1077</v>
      </c>
      <c r="C396" s="134" t="s">
        <v>1078</v>
      </c>
      <c r="D396" s="156" t="s">
        <v>157</v>
      </c>
      <c r="E396" s="156" t="s">
        <v>29</v>
      </c>
      <c r="F396" s="156" t="s">
        <v>205</v>
      </c>
      <c r="G396" s="134" t="s">
        <v>163</v>
      </c>
      <c r="H396" s="127" t="s">
        <v>164</v>
      </c>
      <c r="I396" s="134" t="s">
        <v>160</v>
      </c>
      <c r="J396" s="134" t="s">
        <v>157</v>
      </c>
      <c r="K396" s="135">
        <v>20</v>
      </c>
      <c r="L396" s="135">
        <f>Table1368[[#This Row],[Prix total Achat]]-Table1368[[#This Row],[Prix article]]</f>
        <v>4.93</v>
      </c>
      <c r="M396" s="135">
        <v>24.93</v>
      </c>
      <c r="N396" s="134">
        <v>46300</v>
      </c>
      <c r="O396" s="136">
        <f>(Table1368[[#This Row],[Prix total Achat]]*2)</f>
        <v>49.86</v>
      </c>
      <c r="P396" s="136">
        <f>Table1368[[#This Row],[Prix Min voulu (x2 )]]*1.2</f>
        <v>59.831999999999994</v>
      </c>
      <c r="Q396" s="134">
        <v>46302</v>
      </c>
      <c r="R396" s="134"/>
      <c r="S396" s="135"/>
      <c r="T396" s="134"/>
      <c r="U396" s="134"/>
      <c r="V396" s="137">
        <f>IF(ISBLANK(Table1368[[#This Row],[Date réception Achat]]),"",IF(ISBLANK(Table1368[[#This Row],[Date revente]]),TODAY(),Table1368[[#This Row],[Date revente]])-Table1368[[#This Row],[Date réception Achat]])</f>
        <v>3</v>
      </c>
      <c r="W39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Listé</v>
      </c>
      <c r="X396" s="135">
        <f>IF(Table1368[[#This Row],[Prix de revente]]="","",Table1368[[#This Row],[Prix de revente]]-Table1368[[#This Row],[Prix total Achat]])</f>
      </c>
      <c r="Y396" s="138">
        <f>IF(Table1368[[#This Row],[Prix de revente]]="","",(Table1368[[#This Row],[Prix de revente]]/Table1368[[#This Row],[Prix total Achat]]))</f>
      </c>
      <c r="Z396" s="139">
        <f>IF(ISBLANK(Table1368[[#This Row],[Date réception Achat]]),"",IF(ISBLANK(Table1368[[#This Row],[Date réception Achat]]),TODAY(),Table1368[[#This Row],[Date réception Achat]])-Table1368[[#This Row],[Date achat]])</f>
        <v>12</v>
      </c>
      <c r="AA396" s="139">
        <f>IF(ISBLANK(Table1368[[#This Row],[Date relisting]]),"",IF(ISBLANK(Table1368[[#This Row],[Date relisting]]),TODAY(),Table1368[[#This Row],[Date relisting]])-Table1368[[#This Row],[Date réception Achat]])</f>
        <v>2</v>
      </c>
      <c r="AB396" s="139">
        <f>IF(ISBLANK(Table1368[[#This Row],[Date revente]]),"",IF(ISBLANK(Table1368[[#This Row],[Date revente]]),TODAY(),Table1368[[#This Row],[Date revente]])-Table1368[[#This Row],[Date relisting]])</f>
      </c>
      <c r="AC396" s="139">
        <f>IF(ISBLANK(Table1368[[#This Row],[Date revente]]),"",IF(ISBLANK(Table1368[[#This Row],[Date revente]]),TODAY(),Table1368[[#This Row],[Date revente]])-Table1368[[#This Row],[Date réception Achat]])</f>
      </c>
      <c r="AD396" s="139">
        <f>IF(ISBLANK(Table1368[[#This Row],[Date revente]]),"",IF(ISBLANK(Table1368[[#This Row],[Date revente]]),TODAY(),Table1368[[#This Row],[Date revente]])-Table1368[[#This Row],[Date achat]])</f>
      </c>
    </row>
    <row r="397" spans="1:30" x14ac:dyDescent="0.25">
      <c r="A397" s="134">
        <v>46293</v>
      </c>
      <c r="B397" s="141" t="s">
        <v>629</v>
      </c>
      <c r="C397" s="134" t="s">
        <v>1079</v>
      </c>
      <c r="D397" s="156" t="s">
        <v>157</v>
      </c>
      <c r="E397" s="156" t="s">
        <v>29</v>
      </c>
      <c r="F397" s="156" t="s">
        <v>309</v>
      </c>
      <c r="G397" s="134" t="s">
        <v>228</v>
      </c>
      <c r="H397" s="127" t="s">
        <v>1080</v>
      </c>
      <c r="I397" s="134" t="s">
        <v>160</v>
      </c>
      <c r="J397" s="134" t="s">
        <v>157</v>
      </c>
      <c r="K397" s="135">
        <v>10</v>
      </c>
      <c r="L397" s="135">
        <f>Table1368[[#This Row],[Prix total Achat]]-Table1368[[#This Row],[Prix article]]</f>
        <v>6.649999999999999</v>
      </c>
      <c r="M397" s="135">
        <v>16.65</v>
      </c>
      <c r="N397" s="134">
        <v>46301</v>
      </c>
      <c r="O397" s="136">
        <f>(Table1368[[#This Row],[Prix total Achat]]*2)</f>
        <v>33.3</v>
      </c>
      <c r="P397" s="136">
        <f>Table1368[[#This Row],[Prix Min voulu (x2 )]]*1.2</f>
        <v>39.959999999999994</v>
      </c>
      <c r="Q397" s="134"/>
      <c r="R397" s="134"/>
      <c r="S397" s="135"/>
      <c r="T397" s="134"/>
      <c r="U397" s="134"/>
      <c r="V397" s="137">
        <f>IF(ISBLANK(Table1368[[#This Row],[Date réception Achat]]),"",IF(ISBLANK(Table1368[[#This Row],[Date revente]]),TODAY(),Table1368[[#This Row],[Date revente]])-Table1368[[#This Row],[Date réception Achat]])</f>
        <v>2</v>
      </c>
      <c r="W39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397" s="135">
        <f>IF(Table1368[[#This Row],[Prix de revente]]="","",Table1368[[#This Row],[Prix de revente]]-Table1368[[#This Row],[Prix total Achat]])</f>
      </c>
      <c r="Y397" s="138">
        <f>IF(Table1368[[#This Row],[Prix de revente]]="","",(Table1368[[#This Row],[Prix de revente]]/Table1368[[#This Row],[Prix total Achat]]))</f>
      </c>
      <c r="Z397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397" s="139">
        <f>IF(ISBLANK(Table1368[[#This Row],[Date relisting]]),"",IF(ISBLANK(Table1368[[#This Row],[Date relisting]]),TODAY(),Table1368[[#This Row],[Date relisting]])-Table1368[[#This Row],[Date réception Achat]])</f>
      </c>
      <c r="AB397" s="139">
        <f>IF(ISBLANK(Table1368[[#This Row],[Date revente]]),"",IF(ISBLANK(Table1368[[#This Row],[Date revente]]),TODAY(),Table1368[[#This Row],[Date revente]])-Table1368[[#This Row],[Date relisting]])</f>
      </c>
      <c r="AC397" s="139">
        <f>IF(ISBLANK(Table1368[[#This Row],[Date revente]]),"",IF(ISBLANK(Table1368[[#This Row],[Date revente]]),TODAY(),Table1368[[#This Row],[Date revente]])-Table1368[[#This Row],[Date réception Achat]])</f>
      </c>
      <c r="AD397" s="139">
        <f>IF(ISBLANK(Table1368[[#This Row],[Date revente]]),"",IF(ISBLANK(Table1368[[#This Row],[Date revente]]),TODAY(),Table1368[[#This Row],[Date revente]])-Table1368[[#This Row],[Date achat]])</f>
      </c>
    </row>
    <row r="398" spans="1:30" x14ac:dyDescent="0.25">
      <c r="A398" s="134">
        <v>46295</v>
      </c>
      <c r="B398" s="141" t="s">
        <v>1081</v>
      </c>
      <c r="C398" s="134" t="s">
        <v>1082</v>
      </c>
      <c r="D398" s="156" t="s">
        <v>157</v>
      </c>
      <c r="E398" s="156" t="s">
        <v>29</v>
      </c>
      <c r="F398" s="156" t="s">
        <v>755</v>
      </c>
      <c r="G398" s="134" t="s">
        <v>1083</v>
      </c>
      <c r="H398" s="127" t="s">
        <v>194</v>
      </c>
      <c r="I398" s="134" t="s">
        <v>160</v>
      </c>
      <c r="J398" s="134" t="s">
        <v>157</v>
      </c>
      <c r="K398" s="135">
        <v>5</v>
      </c>
      <c r="L398" s="135">
        <f>Table1368[[#This Row],[Prix total Achat]]-Table1368[[#This Row],[Prix article]]</f>
        <v>4</v>
      </c>
      <c r="M398" s="135">
        <v>9</v>
      </c>
      <c r="N398" s="134">
        <v>46303</v>
      </c>
      <c r="O398" s="136">
        <f>(Table1368[[#This Row],[Prix total Achat]]*2)</f>
        <v>18</v>
      </c>
      <c r="P398" s="136">
        <f>Table1368[[#This Row],[Prix Min voulu (x2 )]]*1.2</f>
        <v>21.599999999999998</v>
      </c>
      <c r="Q398" s="134"/>
      <c r="R398" s="134"/>
      <c r="S398" s="135"/>
      <c r="T398" s="134"/>
      <c r="U398" s="134"/>
      <c r="V398" s="137">
        <f>IF(ISBLANK(Table1368[[#This Row],[Date réception Achat]]),"",IF(ISBLANK(Table1368[[#This Row],[Date revente]]),TODAY(),Table1368[[#This Row],[Date revente]])-Table1368[[#This Row],[Date réception Achat]])</f>
        <v>0</v>
      </c>
      <c r="W39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398" s="135">
        <f>IF(Table1368[[#This Row],[Prix de revente]]="","",Table1368[[#This Row],[Prix de revente]]-Table1368[[#This Row],[Prix total Achat]])</f>
      </c>
      <c r="Y398" s="138">
        <f>IF(Table1368[[#This Row],[Prix de revente]]="","",(Table1368[[#This Row],[Prix de revente]]/Table1368[[#This Row],[Prix total Achat]]))</f>
      </c>
      <c r="Z398" s="139">
        <f>IF(ISBLANK(Table1368[[#This Row],[Date réception Achat]]),"",IF(ISBLANK(Table1368[[#This Row],[Date réception Achat]]),TODAY(),Table1368[[#This Row],[Date réception Achat]])-Table1368[[#This Row],[Date achat]])</f>
        <v>8</v>
      </c>
      <c r="AA398" s="139">
        <f>IF(ISBLANK(Table1368[[#This Row],[Date relisting]]),"",IF(ISBLANK(Table1368[[#This Row],[Date relisting]]),TODAY(),Table1368[[#This Row],[Date relisting]])-Table1368[[#This Row],[Date réception Achat]])</f>
      </c>
      <c r="AB398" s="139">
        <f>IF(ISBLANK(Table1368[[#This Row],[Date revente]]),"",IF(ISBLANK(Table1368[[#This Row],[Date revente]]),TODAY(),Table1368[[#This Row],[Date revente]])-Table1368[[#This Row],[Date relisting]])</f>
      </c>
      <c r="AC398" s="139">
        <f>IF(ISBLANK(Table1368[[#This Row],[Date revente]]),"",IF(ISBLANK(Table1368[[#This Row],[Date revente]]),TODAY(),Table1368[[#This Row],[Date revente]])-Table1368[[#This Row],[Date réception Achat]])</f>
      </c>
      <c r="AD398" s="139">
        <f>IF(ISBLANK(Table1368[[#This Row],[Date revente]]),"",IF(ISBLANK(Table1368[[#This Row],[Date revente]]),TODAY(),Table1368[[#This Row],[Date revente]])-Table1368[[#This Row],[Date achat]])</f>
      </c>
    </row>
    <row r="399" spans="1:30" x14ac:dyDescent="0.25">
      <c r="A399" s="134">
        <v>46295</v>
      </c>
      <c r="B399" s="146" t="s">
        <v>1084</v>
      </c>
      <c r="C399" s="157" t="s">
        <v>1085</v>
      </c>
      <c r="D399" s="157" t="s">
        <v>1086</v>
      </c>
      <c r="E399" s="158">
        <v>50</v>
      </c>
      <c r="F399" s="157" t="s">
        <v>1087</v>
      </c>
      <c r="G399" s="159" t="s">
        <v>882</v>
      </c>
      <c r="H399" s="155" t="s">
        <v>213</v>
      </c>
      <c r="I399" s="134" t="s">
        <v>165</v>
      </c>
      <c r="J399" s="134" t="s">
        <v>157</v>
      </c>
      <c r="K399" s="135">
        <v>10.948</v>
      </c>
      <c r="L399" s="135">
        <f>Table1368[[#This Row],[Prix total Achat]]-Table1368[[#This Row],[Prix article]]</f>
        <v>9.928734933333331</v>
      </c>
      <c r="M399" s="135">
        <v>20.87673493333333</v>
      </c>
      <c r="N399" s="134">
        <v>46302</v>
      </c>
      <c r="O399" s="136">
        <f>(Table1368[[#This Row],[Prix total Achat]]*2)</f>
        <v>41.75346986666666</v>
      </c>
      <c r="P399" s="136">
        <f>Table1368[[#This Row],[Prix Min voulu (x2 )]]*1.2</f>
        <v>50.10416383999999</v>
      </c>
      <c r="Q399" s="134"/>
      <c r="R399" s="134"/>
      <c r="S399" s="135"/>
      <c r="T399" s="134"/>
      <c r="U399" s="134"/>
      <c r="V399" s="137">
        <f>IF(ISBLANK(Table1368[[#This Row],[Date réception Achat]]),"",IF(ISBLANK(Table1368[[#This Row],[Date revente]]),TODAY(),Table1368[[#This Row],[Date revente]])-Table1368[[#This Row],[Date réception Achat]])</f>
        <v>1</v>
      </c>
      <c r="W39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399" s="135">
        <f>IF(Table1368[[#This Row],[Prix de revente]]="","",Table1368[[#This Row],[Prix de revente]]-Table1368[[#This Row],[Prix total Achat]])</f>
      </c>
      <c r="Y399" s="138">
        <f>IF(Table1368[[#This Row],[Prix de revente]]="","",(Table1368[[#This Row],[Prix de revente]]/Table1368[[#This Row],[Prix total Achat]]))</f>
      </c>
      <c r="Z399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399" s="139">
        <f>IF(ISBLANK(Table1368[[#This Row],[Date relisting]]),"",IF(ISBLANK(Table1368[[#This Row],[Date relisting]]),TODAY(),Table1368[[#This Row],[Date relisting]])-Table1368[[#This Row],[Date réception Achat]])</f>
      </c>
      <c r="AB399" s="139">
        <f>IF(ISBLANK(Table1368[[#This Row],[Date revente]]),"",IF(ISBLANK(Table1368[[#This Row],[Date revente]]),TODAY(),Table1368[[#This Row],[Date revente]])-Table1368[[#This Row],[Date relisting]])</f>
      </c>
      <c r="AC399" s="139">
        <f>IF(ISBLANK(Table1368[[#This Row],[Date revente]]),"",IF(ISBLANK(Table1368[[#This Row],[Date revente]]),TODAY(),Table1368[[#This Row],[Date revente]])-Table1368[[#This Row],[Date réception Achat]])</f>
      </c>
      <c r="AD399" s="139">
        <f>IF(ISBLANK(Table1368[[#This Row],[Date revente]]),"",IF(ISBLANK(Table1368[[#This Row],[Date revente]]),TODAY(),Table1368[[#This Row],[Date revente]])-Table1368[[#This Row],[Date achat]])</f>
      </c>
    </row>
    <row r="400" spans="1:30" x14ac:dyDescent="0.25">
      <c r="A400" s="134">
        <v>46295</v>
      </c>
      <c r="B400" s="146" t="s">
        <v>1088</v>
      </c>
      <c r="C400" s="157" t="s">
        <v>1089</v>
      </c>
      <c r="D400" s="157" t="s">
        <v>1086</v>
      </c>
      <c r="E400" s="158">
        <v>24</v>
      </c>
      <c r="F400" s="157" t="s">
        <v>1087</v>
      </c>
      <c r="G400" s="159" t="s">
        <v>882</v>
      </c>
      <c r="H400" s="155" t="s">
        <v>213</v>
      </c>
      <c r="I400" s="134" t="s">
        <v>165</v>
      </c>
      <c r="J400" s="134" t="s">
        <v>157</v>
      </c>
      <c r="K400" s="135">
        <v>5.5944</v>
      </c>
      <c r="L400" s="135">
        <f>Table1368[[#This Row],[Prix total Achat]]-Table1368[[#This Row],[Prix article]]</f>
        <v>9.928734933333331</v>
      </c>
      <c r="M400" s="135">
        <v>15.523134933333331</v>
      </c>
      <c r="N400" s="134">
        <v>46302</v>
      </c>
      <c r="O400" s="136">
        <f>(Table1368[[#This Row],[Prix total Achat]]*2)</f>
        <v>31.046269866666663</v>
      </c>
      <c r="P400" s="136">
        <f>Table1368[[#This Row],[Prix Min voulu (x2 )]]*1.2</f>
        <v>37.255523839999995</v>
      </c>
      <c r="Q400" s="134"/>
      <c r="R400" s="134"/>
      <c r="S400" s="135"/>
      <c r="T400" s="134"/>
      <c r="U400" s="134"/>
      <c r="V400" s="137">
        <f>IF(ISBLANK(Table1368[[#This Row],[Date réception Achat]]),"",IF(ISBLANK(Table1368[[#This Row],[Date revente]]),TODAY(),Table1368[[#This Row],[Date revente]])-Table1368[[#This Row],[Date réception Achat]])</f>
        <v>1</v>
      </c>
      <c r="W40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0" s="135">
        <f>IF(Table1368[[#This Row],[Prix de revente]]="","",Table1368[[#This Row],[Prix de revente]]-Table1368[[#This Row],[Prix total Achat]])</f>
      </c>
      <c r="Y400" s="138">
        <f>IF(Table1368[[#This Row],[Prix de revente]]="","",(Table1368[[#This Row],[Prix de revente]]/Table1368[[#This Row],[Prix total Achat]]))</f>
      </c>
      <c r="Z400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0" s="139">
        <f>IF(ISBLANK(Table1368[[#This Row],[Date relisting]]),"",IF(ISBLANK(Table1368[[#This Row],[Date relisting]]),TODAY(),Table1368[[#This Row],[Date relisting]])-Table1368[[#This Row],[Date réception Achat]])</f>
      </c>
      <c r="AB400" s="139">
        <f>IF(ISBLANK(Table1368[[#This Row],[Date revente]]),"",IF(ISBLANK(Table1368[[#This Row],[Date revente]]),TODAY(),Table1368[[#This Row],[Date revente]])-Table1368[[#This Row],[Date relisting]])</f>
      </c>
      <c r="AC400" s="139">
        <f>IF(ISBLANK(Table1368[[#This Row],[Date revente]]),"",IF(ISBLANK(Table1368[[#This Row],[Date revente]]),TODAY(),Table1368[[#This Row],[Date revente]])-Table1368[[#This Row],[Date réception Achat]])</f>
      </c>
      <c r="AD400" s="139">
        <f>IF(ISBLANK(Table1368[[#This Row],[Date revente]]),"",IF(ISBLANK(Table1368[[#This Row],[Date revente]]),TODAY(),Table1368[[#This Row],[Date revente]])-Table1368[[#This Row],[Date achat]])</f>
      </c>
    </row>
    <row r="401" spans="1:30" x14ac:dyDescent="0.25">
      <c r="A401" s="134">
        <v>46295</v>
      </c>
      <c r="B401" s="146" t="s">
        <v>1090</v>
      </c>
      <c r="C401" s="157" t="s">
        <v>1091</v>
      </c>
      <c r="D401" s="157" t="s">
        <v>1086</v>
      </c>
      <c r="E401" s="158">
        <v>42</v>
      </c>
      <c r="F401" s="157" t="s">
        <v>1087</v>
      </c>
      <c r="G401" s="159" t="s">
        <v>882</v>
      </c>
      <c r="H401" s="155" t="s">
        <v>213</v>
      </c>
      <c r="I401" s="134" t="s">
        <v>165</v>
      </c>
      <c r="J401" s="134" t="s">
        <v>157</v>
      </c>
      <c r="K401" s="135">
        <v>11.088</v>
      </c>
      <c r="L401" s="135">
        <f>Table1368[[#This Row],[Prix total Achat]]-Table1368[[#This Row],[Prix article]]</f>
        <v>9.928734933333333</v>
      </c>
      <c r="M401" s="135">
        <v>21.016734933333332</v>
      </c>
      <c r="N401" s="134">
        <v>46302</v>
      </c>
      <c r="O401" s="136">
        <f>(Table1368[[#This Row],[Prix total Achat]]*2)</f>
        <v>42.033469866666664</v>
      </c>
      <c r="P401" s="136">
        <f>Table1368[[#This Row],[Prix Min voulu (x2 )]]*1.2</f>
        <v>50.44016384</v>
      </c>
      <c r="Q401" s="134"/>
      <c r="R401" s="134"/>
      <c r="S401" s="135"/>
      <c r="T401" s="134"/>
      <c r="U401" s="134"/>
      <c r="V401" s="137">
        <f>IF(ISBLANK(Table1368[[#This Row],[Date réception Achat]]),"",IF(ISBLANK(Table1368[[#This Row],[Date revente]]),TODAY(),Table1368[[#This Row],[Date revente]])-Table1368[[#This Row],[Date réception Achat]])</f>
        <v>1</v>
      </c>
      <c r="W40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1" s="135">
        <f>IF(Table1368[[#This Row],[Prix de revente]]="","",Table1368[[#This Row],[Prix de revente]]-Table1368[[#This Row],[Prix total Achat]])</f>
      </c>
      <c r="Y401" s="138">
        <f>IF(Table1368[[#This Row],[Prix de revente]]="","",(Table1368[[#This Row],[Prix de revente]]/Table1368[[#This Row],[Prix total Achat]]))</f>
      </c>
      <c r="Z401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1" s="139">
        <f>IF(ISBLANK(Table1368[[#This Row],[Date relisting]]),"",IF(ISBLANK(Table1368[[#This Row],[Date relisting]]),TODAY(),Table1368[[#This Row],[Date relisting]])-Table1368[[#This Row],[Date réception Achat]])</f>
      </c>
      <c r="AB401" s="139">
        <f>IF(ISBLANK(Table1368[[#This Row],[Date revente]]),"",IF(ISBLANK(Table1368[[#This Row],[Date revente]]),TODAY(),Table1368[[#This Row],[Date revente]])-Table1368[[#This Row],[Date relisting]])</f>
      </c>
      <c r="AC401" s="139">
        <f>IF(ISBLANK(Table1368[[#This Row],[Date revente]]),"",IF(ISBLANK(Table1368[[#This Row],[Date revente]]),TODAY(),Table1368[[#This Row],[Date revente]])-Table1368[[#This Row],[Date réception Achat]])</f>
      </c>
      <c r="AD401" s="139">
        <f>IF(ISBLANK(Table1368[[#This Row],[Date revente]]),"",IF(ISBLANK(Table1368[[#This Row],[Date revente]]),TODAY(),Table1368[[#This Row],[Date revente]])-Table1368[[#This Row],[Date achat]])</f>
      </c>
    </row>
    <row r="402" spans="1:30" x14ac:dyDescent="0.25">
      <c r="A402" s="134">
        <v>46295</v>
      </c>
      <c r="B402" s="146" t="s">
        <v>1092</v>
      </c>
      <c r="C402" s="157" t="s">
        <v>1093</v>
      </c>
      <c r="D402" s="157" t="s">
        <v>1086</v>
      </c>
      <c r="E402" s="158">
        <v>36</v>
      </c>
      <c r="F402" s="157" t="s">
        <v>1087</v>
      </c>
      <c r="G402" s="159" t="s">
        <v>882</v>
      </c>
      <c r="H402" s="155" t="s">
        <v>213</v>
      </c>
      <c r="I402" s="134" t="s">
        <v>165</v>
      </c>
      <c r="J402" s="134" t="s">
        <v>157</v>
      </c>
      <c r="K402" s="135">
        <v>6.72</v>
      </c>
      <c r="L402" s="135">
        <f>Table1368[[#This Row],[Prix total Achat]]-Table1368[[#This Row],[Prix article]]</f>
        <v>9.928734933333331</v>
      </c>
      <c r="M402" s="135">
        <v>16.64873493333333</v>
      </c>
      <c r="N402" s="134">
        <v>46302</v>
      </c>
      <c r="O402" s="136">
        <f>(Table1368[[#This Row],[Prix total Achat]]*2)</f>
        <v>33.29746986666666</v>
      </c>
      <c r="P402" s="136">
        <f>Table1368[[#This Row],[Prix Min voulu (x2 )]]*1.2</f>
        <v>39.95696383999999</v>
      </c>
      <c r="Q402" s="134"/>
      <c r="R402" s="134"/>
      <c r="S402" s="135"/>
      <c r="T402" s="134"/>
      <c r="U402" s="134"/>
      <c r="V402" s="137">
        <f>IF(ISBLANK(Table1368[[#This Row],[Date réception Achat]]),"",IF(ISBLANK(Table1368[[#This Row],[Date revente]]),TODAY(),Table1368[[#This Row],[Date revente]])-Table1368[[#This Row],[Date réception Achat]])</f>
        <v>1</v>
      </c>
      <c r="W40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2" s="135">
        <f>IF(Table1368[[#This Row],[Prix de revente]]="","",Table1368[[#This Row],[Prix de revente]]-Table1368[[#This Row],[Prix total Achat]])</f>
      </c>
      <c r="Y402" s="138">
        <f>IF(Table1368[[#This Row],[Prix de revente]]="","",(Table1368[[#This Row],[Prix de revente]]/Table1368[[#This Row],[Prix total Achat]]))</f>
      </c>
      <c r="Z402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2" s="139">
        <f>IF(ISBLANK(Table1368[[#This Row],[Date relisting]]),"",IF(ISBLANK(Table1368[[#This Row],[Date relisting]]),TODAY(),Table1368[[#This Row],[Date relisting]])-Table1368[[#This Row],[Date réception Achat]])</f>
      </c>
      <c r="AB402" s="139">
        <f>IF(ISBLANK(Table1368[[#This Row],[Date revente]]),"",IF(ISBLANK(Table1368[[#This Row],[Date revente]]),TODAY(),Table1368[[#This Row],[Date revente]])-Table1368[[#This Row],[Date relisting]])</f>
      </c>
      <c r="AC402" s="139">
        <f>IF(ISBLANK(Table1368[[#This Row],[Date revente]]),"",IF(ISBLANK(Table1368[[#This Row],[Date revente]]),TODAY(),Table1368[[#This Row],[Date revente]])-Table1368[[#This Row],[Date réception Achat]])</f>
      </c>
      <c r="AD402" s="139">
        <f>IF(ISBLANK(Table1368[[#This Row],[Date revente]]),"",IF(ISBLANK(Table1368[[#This Row],[Date revente]]),TODAY(),Table1368[[#This Row],[Date revente]])-Table1368[[#This Row],[Date achat]])</f>
      </c>
    </row>
    <row r="403" spans="1:30" x14ac:dyDescent="0.25">
      <c r="A403" s="134">
        <v>46295</v>
      </c>
      <c r="B403" s="146" t="s">
        <v>1094</v>
      </c>
      <c r="C403" s="157" t="s">
        <v>1095</v>
      </c>
      <c r="D403" s="157" t="s">
        <v>1086</v>
      </c>
      <c r="E403" s="158">
        <v>50</v>
      </c>
      <c r="F403" s="157" t="s">
        <v>1087</v>
      </c>
      <c r="G403" s="159" t="s">
        <v>882</v>
      </c>
      <c r="H403" s="155" t="s">
        <v>213</v>
      </c>
      <c r="I403" s="134" t="s">
        <v>165</v>
      </c>
      <c r="J403" s="134" t="s">
        <v>157</v>
      </c>
      <c r="K403" s="135">
        <v>14</v>
      </c>
      <c r="L403" s="135">
        <f>Table1368[[#This Row],[Prix total Achat]]-Table1368[[#This Row],[Prix article]]</f>
        <v>9.928734933333331</v>
      </c>
      <c r="M403" s="135">
        <v>23.92873493333333</v>
      </c>
      <c r="N403" s="134">
        <v>46302</v>
      </c>
      <c r="O403" s="136">
        <f>(Table1368[[#This Row],[Prix total Achat]]*2)</f>
        <v>47.85746986666666</v>
      </c>
      <c r="P403" s="136">
        <f>Table1368[[#This Row],[Prix Min voulu (x2 )]]*1.2</f>
        <v>57.428963839999994</v>
      </c>
      <c r="Q403" s="134"/>
      <c r="R403" s="134"/>
      <c r="S403" s="135"/>
      <c r="T403" s="134"/>
      <c r="U403" s="134"/>
      <c r="V403" s="137">
        <f>IF(ISBLANK(Table1368[[#This Row],[Date réception Achat]]),"",IF(ISBLANK(Table1368[[#This Row],[Date revente]]),TODAY(),Table1368[[#This Row],[Date revente]])-Table1368[[#This Row],[Date réception Achat]])</f>
        <v>1</v>
      </c>
      <c r="W40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3" s="135">
        <f>IF(Table1368[[#This Row],[Prix de revente]]="","",Table1368[[#This Row],[Prix de revente]]-Table1368[[#This Row],[Prix total Achat]])</f>
      </c>
      <c r="Y403" s="138">
        <f>IF(Table1368[[#This Row],[Prix de revente]]="","",(Table1368[[#This Row],[Prix de revente]]/Table1368[[#This Row],[Prix total Achat]]))</f>
      </c>
      <c r="Z403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3" s="139">
        <f>IF(ISBLANK(Table1368[[#This Row],[Date relisting]]),"",IF(ISBLANK(Table1368[[#This Row],[Date relisting]]),TODAY(),Table1368[[#This Row],[Date relisting]])-Table1368[[#This Row],[Date réception Achat]])</f>
      </c>
      <c r="AB403" s="139">
        <f>IF(ISBLANK(Table1368[[#This Row],[Date revente]]),"",IF(ISBLANK(Table1368[[#This Row],[Date revente]]),TODAY(),Table1368[[#This Row],[Date revente]])-Table1368[[#This Row],[Date relisting]])</f>
      </c>
      <c r="AC403" s="139">
        <f>IF(ISBLANK(Table1368[[#This Row],[Date revente]]),"",IF(ISBLANK(Table1368[[#This Row],[Date revente]]),TODAY(),Table1368[[#This Row],[Date revente]])-Table1368[[#This Row],[Date réception Achat]])</f>
      </c>
      <c r="AD403" s="139">
        <f>IF(ISBLANK(Table1368[[#This Row],[Date revente]]),"",IF(ISBLANK(Table1368[[#This Row],[Date revente]]),TODAY(),Table1368[[#This Row],[Date revente]])-Table1368[[#This Row],[Date achat]])</f>
      </c>
    </row>
    <row r="404" spans="1:30" x14ac:dyDescent="0.25">
      <c r="A404" s="134">
        <v>46295</v>
      </c>
      <c r="B404" s="146" t="s">
        <v>1096</v>
      </c>
      <c r="C404" s="157" t="s">
        <v>1097</v>
      </c>
      <c r="D404" s="157" t="s">
        <v>1086</v>
      </c>
      <c r="E404" s="158">
        <v>54</v>
      </c>
      <c r="F404" s="157" t="s">
        <v>1087</v>
      </c>
      <c r="G404" s="159" t="s">
        <v>882</v>
      </c>
      <c r="H404" s="155" t="s">
        <v>213</v>
      </c>
      <c r="I404" s="134" t="s">
        <v>165</v>
      </c>
      <c r="J404" s="134" t="s">
        <v>157</v>
      </c>
      <c r="K404" s="135">
        <v>11.536</v>
      </c>
      <c r="L404" s="135">
        <f>Table1368[[#This Row],[Prix total Achat]]-Table1368[[#This Row],[Prix article]]</f>
        <v>9.928734933333333</v>
      </c>
      <c r="M404" s="135">
        <v>21.464734933333332</v>
      </c>
      <c r="N404" s="134">
        <v>46302</v>
      </c>
      <c r="O404" s="136">
        <f>(Table1368[[#This Row],[Prix total Achat]]*2)</f>
        <v>42.929469866666665</v>
      </c>
      <c r="P404" s="136">
        <f>Table1368[[#This Row],[Prix Min voulu (x2 )]]*1.2</f>
        <v>51.51536384</v>
      </c>
      <c r="Q404" s="134"/>
      <c r="R404" s="134"/>
      <c r="S404" s="135"/>
      <c r="T404" s="134"/>
      <c r="U404" s="134"/>
      <c r="V404" s="137">
        <f>IF(ISBLANK(Table1368[[#This Row],[Date réception Achat]]),"",IF(ISBLANK(Table1368[[#This Row],[Date revente]]),TODAY(),Table1368[[#This Row],[Date revente]])-Table1368[[#This Row],[Date réception Achat]])</f>
        <v>1</v>
      </c>
      <c r="W40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4" s="135">
        <f>IF(Table1368[[#This Row],[Prix de revente]]="","",Table1368[[#This Row],[Prix de revente]]-Table1368[[#This Row],[Prix total Achat]])</f>
      </c>
      <c r="Y404" s="138">
        <f>IF(Table1368[[#This Row],[Prix de revente]]="","",(Table1368[[#This Row],[Prix de revente]]/Table1368[[#This Row],[Prix total Achat]]))</f>
      </c>
      <c r="Z404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4" s="139">
        <f>IF(ISBLANK(Table1368[[#This Row],[Date relisting]]),"",IF(ISBLANK(Table1368[[#This Row],[Date relisting]]),TODAY(),Table1368[[#This Row],[Date relisting]])-Table1368[[#This Row],[Date réception Achat]])</f>
      </c>
      <c r="AB404" s="139">
        <f>IF(ISBLANK(Table1368[[#This Row],[Date revente]]),"",IF(ISBLANK(Table1368[[#This Row],[Date revente]]),TODAY(),Table1368[[#This Row],[Date revente]])-Table1368[[#This Row],[Date relisting]])</f>
      </c>
      <c r="AC404" s="139">
        <f>IF(ISBLANK(Table1368[[#This Row],[Date revente]]),"",IF(ISBLANK(Table1368[[#This Row],[Date revente]]),TODAY(),Table1368[[#This Row],[Date revente]])-Table1368[[#This Row],[Date réception Achat]])</f>
      </c>
      <c r="AD404" s="139">
        <f>IF(ISBLANK(Table1368[[#This Row],[Date revente]]),"",IF(ISBLANK(Table1368[[#This Row],[Date revente]]),TODAY(),Table1368[[#This Row],[Date revente]])-Table1368[[#This Row],[Date achat]])</f>
      </c>
    </row>
    <row r="405" spans="1:30" x14ac:dyDescent="0.25">
      <c r="A405" s="134">
        <v>46295</v>
      </c>
      <c r="B405" s="146" t="s">
        <v>1098</v>
      </c>
      <c r="C405" s="157" t="s">
        <v>1099</v>
      </c>
      <c r="D405" s="157" t="s">
        <v>1086</v>
      </c>
      <c r="E405" s="158">
        <v>38</v>
      </c>
      <c r="F405" s="157" t="s">
        <v>1087</v>
      </c>
      <c r="G405" s="159" t="s">
        <v>882</v>
      </c>
      <c r="H405" s="155" t="s">
        <v>213</v>
      </c>
      <c r="I405" s="134" t="s">
        <v>165</v>
      </c>
      <c r="J405" s="134" t="s">
        <v>157</v>
      </c>
      <c r="K405" s="135">
        <v>12.4432</v>
      </c>
      <c r="L405" s="135">
        <f>Table1368[[#This Row],[Prix total Achat]]-Table1368[[#This Row],[Prix article]]</f>
        <v>9.92873493333333</v>
      </c>
      <c r="M405" s="135">
        <v>22.37193493333333</v>
      </c>
      <c r="N405" s="134">
        <v>46302</v>
      </c>
      <c r="O405" s="136">
        <f>(Table1368[[#This Row],[Prix total Achat]]*2)</f>
        <v>44.74386986666666</v>
      </c>
      <c r="P405" s="136">
        <f>Table1368[[#This Row],[Prix Min voulu (x2 )]]*1.2</f>
        <v>53.69264383999999</v>
      </c>
      <c r="Q405" s="134"/>
      <c r="R405" s="134"/>
      <c r="S405" s="135"/>
      <c r="T405" s="134"/>
      <c r="U405" s="134"/>
      <c r="V405" s="137">
        <f>IF(ISBLANK(Table1368[[#This Row],[Date réception Achat]]),"",IF(ISBLANK(Table1368[[#This Row],[Date revente]]),TODAY(),Table1368[[#This Row],[Date revente]])-Table1368[[#This Row],[Date réception Achat]])</f>
        <v>1</v>
      </c>
      <c r="W405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5" s="135">
        <f>IF(Table1368[[#This Row],[Prix de revente]]="","",Table1368[[#This Row],[Prix de revente]]-Table1368[[#This Row],[Prix total Achat]])</f>
      </c>
      <c r="Y405" s="138">
        <f>IF(Table1368[[#This Row],[Prix de revente]]="","",(Table1368[[#This Row],[Prix de revente]]/Table1368[[#This Row],[Prix total Achat]]))</f>
      </c>
      <c r="Z405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5" s="139">
        <f>IF(ISBLANK(Table1368[[#This Row],[Date relisting]]),"",IF(ISBLANK(Table1368[[#This Row],[Date relisting]]),TODAY(),Table1368[[#This Row],[Date relisting]])-Table1368[[#This Row],[Date réception Achat]])</f>
      </c>
      <c r="AB405" s="139">
        <f>IF(ISBLANK(Table1368[[#This Row],[Date revente]]),"",IF(ISBLANK(Table1368[[#This Row],[Date revente]]),TODAY(),Table1368[[#This Row],[Date revente]])-Table1368[[#This Row],[Date relisting]])</f>
      </c>
      <c r="AC405" s="139">
        <f>IF(ISBLANK(Table1368[[#This Row],[Date revente]]),"",IF(ISBLANK(Table1368[[#This Row],[Date revente]]),TODAY(),Table1368[[#This Row],[Date revente]])-Table1368[[#This Row],[Date réception Achat]])</f>
      </c>
      <c r="AD405" s="139">
        <f>IF(ISBLANK(Table1368[[#This Row],[Date revente]]),"",IF(ISBLANK(Table1368[[#This Row],[Date revente]]),TODAY(),Table1368[[#This Row],[Date revente]])-Table1368[[#This Row],[Date achat]])</f>
      </c>
    </row>
    <row r="406" spans="1:30" x14ac:dyDescent="0.25">
      <c r="A406" s="134">
        <v>46295</v>
      </c>
      <c r="B406" s="148" t="s">
        <v>1100</v>
      </c>
      <c r="C406" s="157" t="s">
        <v>1101</v>
      </c>
      <c r="D406" s="157" t="s">
        <v>1086</v>
      </c>
      <c r="E406" s="158">
        <v>182</v>
      </c>
      <c r="F406" s="157" t="s">
        <v>765</v>
      </c>
      <c r="G406" s="147" t="s">
        <v>163</v>
      </c>
      <c r="H406" s="155" t="s">
        <v>194</v>
      </c>
      <c r="I406" s="134" t="s">
        <v>165</v>
      </c>
      <c r="J406" s="134" t="s">
        <v>157</v>
      </c>
      <c r="K406" s="135">
        <v>12.264</v>
      </c>
      <c r="L406" s="135">
        <f>Table1368[[#This Row],[Prix total Achat]]-Table1368[[#This Row],[Prix article]]</f>
        <v>9.928734933333331</v>
      </c>
      <c r="M406" s="135">
        <v>22.19273493333333</v>
      </c>
      <c r="N406" s="134">
        <v>46302</v>
      </c>
      <c r="O406" s="136">
        <f>(Table1368[[#This Row],[Prix total Achat]]*2)</f>
        <v>44.38546986666666</v>
      </c>
      <c r="P406" s="136">
        <f>Table1368[[#This Row],[Prix Min voulu (x2 )]]*1.2</f>
        <v>53.26256383999999</v>
      </c>
      <c r="Q406" s="134"/>
      <c r="R406" s="134"/>
      <c r="S406" s="135"/>
      <c r="T406" s="134"/>
      <c r="U406" s="134"/>
      <c r="V406" s="137">
        <f>IF(ISBLANK(Table1368[[#This Row],[Date réception Achat]]),"",IF(ISBLANK(Table1368[[#This Row],[Date revente]]),TODAY(),Table1368[[#This Row],[Date revente]])-Table1368[[#This Row],[Date réception Achat]])</f>
        <v>1</v>
      </c>
      <c r="W406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6" s="135">
        <f>IF(Table1368[[#This Row],[Prix de revente]]="","",Table1368[[#This Row],[Prix de revente]]-Table1368[[#This Row],[Prix total Achat]])</f>
      </c>
      <c r="Y406" s="138">
        <f>IF(Table1368[[#This Row],[Prix de revente]]="","",(Table1368[[#This Row],[Prix de revente]]/Table1368[[#This Row],[Prix total Achat]]))</f>
      </c>
      <c r="Z406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6" s="139">
        <f>IF(ISBLANK(Table1368[[#This Row],[Date relisting]]),"",IF(ISBLANK(Table1368[[#This Row],[Date relisting]]),TODAY(),Table1368[[#This Row],[Date relisting]])-Table1368[[#This Row],[Date réception Achat]])</f>
      </c>
      <c r="AB406" s="139">
        <f>IF(ISBLANK(Table1368[[#This Row],[Date revente]]),"",IF(ISBLANK(Table1368[[#This Row],[Date revente]]),TODAY(),Table1368[[#This Row],[Date revente]])-Table1368[[#This Row],[Date relisting]])</f>
      </c>
      <c r="AC406" s="139">
        <f>IF(ISBLANK(Table1368[[#This Row],[Date revente]]),"",IF(ISBLANK(Table1368[[#This Row],[Date revente]]),TODAY(),Table1368[[#This Row],[Date revente]])-Table1368[[#This Row],[Date réception Achat]])</f>
      </c>
      <c r="AD406" s="139">
        <f>IF(ISBLANK(Table1368[[#This Row],[Date revente]]),"",IF(ISBLANK(Table1368[[#This Row],[Date revente]]),TODAY(),Table1368[[#This Row],[Date revente]])-Table1368[[#This Row],[Date achat]])</f>
      </c>
    </row>
    <row r="407" spans="1:30" x14ac:dyDescent="0.25">
      <c r="A407" s="134">
        <v>46295</v>
      </c>
      <c r="B407" s="148" t="s">
        <v>1102</v>
      </c>
      <c r="C407" s="157" t="s">
        <v>1103</v>
      </c>
      <c r="D407" s="157" t="s">
        <v>1086</v>
      </c>
      <c r="E407" s="158">
        <v>280</v>
      </c>
      <c r="F407" s="157" t="s">
        <v>765</v>
      </c>
      <c r="G407" s="147" t="s">
        <v>202</v>
      </c>
      <c r="H407" s="155" t="s">
        <v>178</v>
      </c>
      <c r="I407" s="134" t="s">
        <v>165</v>
      </c>
      <c r="J407" s="134" t="s">
        <v>157</v>
      </c>
      <c r="K407" s="135">
        <v>16.128</v>
      </c>
      <c r="L407" s="135">
        <f>Table1368[[#This Row],[Prix total Achat]]-Table1368[[#This Row],[Prix article]]</f>
        <v>9.928734933333331</v>
      </c>
      <c r="M407" s="135">
        <v>26.05673493333333</v>
      </c>
      <c r="N407" s="134">
        <v>46302</v>
      </c>
      <c r="O407" s="136">
        <f>(Table1368[[#This Row],[Prix total Achat]]*2)</f>
        <v>52.11346986666666</v>
      </c>
      <c r="P407" s="136">
        <f>Table1368[[#This Row],[Prix Min voulu (x2 )]]*1.2</f>
        <v>62.53616383999999</v>
      </c>
      <c r="Q407" s="134"/>
      <c r="R407" s="134"/>
      <c r="S407" s="135"/>
      <c r="T407" s="134"/>
      <c r="U407" s="134"/>
      <c r="V407" s="137">
        <f>IF(ISBLANK(Table1368[[#This Row],[Date réception Achat]]),"",IF(ISBLANK(Table1368[[#This Row],[Date revente]]),TODAY(),Table1368[[#This Row],[Date revente]])-Table1368[[#This Row],[Date réception Achat]])</f>
        <v>1</v>
      </c>
      <c r="W407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7" s="135">
        <f>IF(Table1368[[#This Row],[Prix de revente]]="","",Table1368[[#This Row],[Prix de revente]]-Table1368[[#This Row],[Prix total Achat]])</f>
      </c>
      <c r="Y407" s="138">
        <f>IF(Table1368[[#This Row],[Prix de revente]]="","",(Table1368[[#This Row],[Prix de revente]]/Table1368[[#This Row],[Prix total Achat]]))</f>
      </c>
      <c r="Z407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7" s="139">
        <f>IF(ISBLANK(Table1368[[#This Row],[Date relisting]]),"",IF(ISBLANK(Table1368[[#This Row],[Date relisting]]),TODAY(),Table1368[[#This Row],[Date relisting]])-Table1368[[#This Row],[Date réception Achat]])</f>
      </c>
      <c r="AB407" s="139">
        <f>IF(ISBLANK(Table1368[[#This Row],[Date revente]]),"",IF(ISBLANK(Table1368[[#This Row],[Date revente]]),TODAY(),Table1368[[#This Row],[Date revente]])-Table1368[[#This Row],[Date relisting]])</f>
      </c>
      <c r="AC407" s="139">
        <f>IF(ISBLANK(Table1368[[#This Row],[Date revente]]),"",IF(ISBLANK(Table1368[[#This Row],[Date revente]]),TODAY(),Table1368[[#This Row],[Date revente]])-Table1368[[#This Row],[Date réception Achat]])</f>
      </c>
      <c r="AD407" s="139">
        <f>IF(ISBLANK(Table1368[[#This Row],[Date revente]]),"",IF(ISBLANK(Table1368[[#This Row],[Date revente]]),TODAY(),Table1368[[#This Row],[Date revente]])-Table1368[[#This Row],[Date achat]])</f>
      </c>
    </row>
    <row r="408" spans="1:30" x14ac:dyDescent="0.25">
      <c r="A408" s="134">
        <v>46295</v>
      </c>
      <c r="B408" s="148" t="s">
        <v>1104</v>
      </c>
      <c r="C408" s="157" t="s">
        <v>1105</v>
      </c>
      <c r="D408" s="157" t="s">
        <v>1086</v>
      </c>
      <c r="E408" s="158">
        <v>268</v>
      </c>
      <c r="F408" s="157" t="s">
        <v>765</v>
      </c>
      <c r="G408" s="147" t="s">
        <v>408</v>
      </c>
      <c r="H408" s="155" t="s">
        <v>1106</v>
      </c>
      <c r="I408" s="134" t="s">
        <v>165</v>
      </c>
      <c r="J408" s="134" t="s">
        <v>157</v>
      </c>
      <c r="K408" s="135">
        <v>11.2</v>
      </c>
      <c r="L408" s="135">
        <f>Table1368[[#This Row],[Prix total Achat]]-Table1368[[#This Row],[Prix article]]</f>
        <v>9.928734933333331</v>
      </c>
      <c r="M408" s="135">
        <v>21.12873493333333</v>
      </c>
      <c r="N408" s="134">
        <v>46302</v>
      </c>
      <c r="O408" s="136">
        <f>(Table1368[[#This Row],[Prix total Achat]]*2)</f>
        <v>42.25746986666666</v>
      </c>
      <c r="P408" s="136">
        <f>Table1368[[#This Row],[Prix Min voulu (x2 )]]*1.2</f>
        <v>50.70896383999999</v>
      </c>
      <c r="Q408" s="134"/>
      <c r="R408" s="134"/>
      <c r="S408" s="135"/>
      <c r="T408" s="134"/>
      <c r="U408" s="134"/>
      <c r="V408" s="137">
        <f>IF(ISBLANK(Table1368[[#This Row],[Date réception Achat]]),"",IF(ISBLANK(Table1368[[#This Row],[Date revente]]),TODAY(),Table1368[[#This Row],[Date revente]])-Table1368[[#This Row],[Date réception Achat]])</f>
        <v>1</v>
      </c>
      <c r="W408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8" s="135">
        <f>IF(Table1368[[#This Row],[Prix de revente]]="","",Table1368[[#This Row],[Prix de revente]]-Table1368[[#This Row],[Prix total Achat]])</f>
      </c>
      <c r="Y408" s="138">
        <f>IF(Table1368[[#This Row],[Prix de revente]]="","",(Table1368[[#This Row],[Prix de revente]]/Table1368[[#This Row],[Prix total Achat]]))</f>
      </c>
      <c r="Z408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8" s="139">
        <f>IF(ISBLANK(Table1368[[#This Row],[Date relisting]]),"",IF(ISBLANK(Table1368[[#This Row],[Date relisting]]),TODAY(),Table1368[[#This Row],[Date relisting]])-Table1368[[#This Row],[Date réception Achat]])</f>
      </c>
      <c r="AB408" s="139">
        <f>IF(ISBLANK(Table1368[[#This Row],[Date revente]]),"",IF(ISBLANK(Table1368[[#This Row],[Date revente]]),TODAY(),Table1368[[#This Row],[Date revente]])-Table1368[[#This Row],[Date relisting]])</f>
      </c>
      <c r="AC408" s="139">
        <f>IF(ISBLANK(Table1368[[#This Row],[Date revente]]),"",IF(ISBLANK(Table1368[[#This Row],[Date revente]]),TODAY(),Table1368[[#This Row],[Date revente]])-Table1368[[#This Row],[Date réception Achat]])</f>
      </c>
      <c r="AD408" s="139">
        <f>IF(ISBLANK(Table1368[[#This Row],[Date revente]]),"",IF(ISBLANK(Table1368[[#This Row],[Date revente]]),TODAY(),Table1368[[#This Row],[Date revente]])-Table1368[[#This Row],[Date achat]])</f>
      </c>
    </row>
    <row r="409" spans="1:30" x14ac:dyDescent="0.25">
      <c r="A409" s="134">
        <v>46295</v>
      </c>
      <c r="B409" s="148" t="s">
        <v>1107</v>
      </c>
      <c r="C409" s="157" t="s">
        <v>1108</v>
      </c>
      <c r="D409" s="157" t="s">
        <v>1086</v>
      </c>
      <c r="E409" s="158">
        <v>286</v>
      </c>
      <c r="F409" s="157" t="s">
        <v>765</v>
      </c>
      <c r="G409" s="147" t="s">
        <v>1109</v>
      </c>
      <c r="H409" s="155" t="s">
        <v>1110</v>
      </c>
      <c r="I409" s="134" t="s">
        <v>165</v>
      </c>
      <c r="J409" s="134" t="s">
        <v>157</v>
      </c>
      <c r="K409" s="135">
        <v>2.52</v>
      </c>
      <c r="L409" s="135">
        <f>Table1368[[#This Row],[Prix total Achat]]-Table1368[[#This Row],[Prix article]]</f>
        <v>9.928734933333331</v>
      </c>
      <c r="M409" s="135">
        <v>12.44873493333333</v>
      </c>
      <c r="N409" s="134">
        <v>46302</v>
      </c>
      <c r="O409" s="136">
        <f>(Table1368[[#This Row],[Prix total Achat]]*2)</f>
        <v>24.89746986666666</v>
      </c>
      <c r="P409" s="136">
        <f>Table1368[[#This Row],[Prix Min voulu (x2 )]]*1.2</f>
        <v>29.87696383999999</v>
      </c>
      <c r="Q409" s="134"/>
      <c r="R409" s="134"/>
      <c r="S409" s="135"/>
      <c r="T409" s="134"/>
      <c r="U409" s="134"/>
      <c r="V409" s="137">
        <f>IF(ISBLANK(Table1368[[#This Row],[Date réception Achat]]),"",IF(ISBLANK(Table1368[[#This Row],[Date revente]]),TODAY(),Table1368[[#This Row],[Date revente]])-Table1368[[#This Row],[Date réception Achat]])</f>
        <v>1</v>
      </c>
      <c r="W409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09" s="135">
        <f>IF(Table1368[[#This Row],[Prix de revente]]="","",Table1368[[#This Row],[Prix de revente]]-Table1368[[#This Row],[Prix total Achat]])</f>
      </c>
      <c r="Y409" s="138">
        <f>IF(Table1368[[#This Row],[Prix de revente]]="","",(Table1368[[#This Row],[Prix de revente]]/Table1368[[#This Row],[Prix total Achat]]))</f>
      </c>
      <c r="Z409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09" s="139">
        <f>IF(ISBLANK(Table1368[[#This Row],[Date relisting]]),"",IF(ISBLANK(Table1368[[#This Row],[Date relisting]]),TODAY(),Table1368[[#This Row],[Date relisting]])-Table1368[[#This Row],[Date réception Achat]])</f>
      </c>
      <c r="AB409" s="139">
        <f>IF(ISBLANK(Table1368[[#This Row],[Date revente]]),"",IF(ISBLANK(Table1368[[#This Row],[Date revente]]),TODAY(),Table1368[[#This Row],[Date revente]])-Table1368[[#This Row],[Date relisting]])</f>
      </c>
      <c r="AC409" s="139">
        <f>IF(ISBLANK(Table1368[[#This Row],[Date revente]]),"",IF(ISBLANK(Table1368[[#This Row],[Date revente]]),TODAY(),Table1368[[#This Row],[Date revente]])-Table1368[[#This Row],[Date réception Achat]])</f>
      </c>
      <c r="AD409" s="139">
        <f>IF(ISBLANK(Table1368[[#This Row],[Date revente]]),"",IF(ISBLANK(Table1368[[#This Row],[Date revente]]),TODAY(),Table1368[[#This Row],[Date revente]])-Table1368[[#This Row],[Date achat]])</f>
      </c>
    </row>
    <row r="410" spans="1:30" x14ac:dyDescent="0.25">
      <c r="A410" s="134">
        <v>46295</v>
      </c>
      <c r="B410" s="148" t="s">
        <v>1111</v>
      </c>
      <c r="C410" s="157" t="s">
        <v>1112</v>
      </c>
      <c r="D410" s="157" t="s">
        <v>1086</v>
      </c>
      <c r="E410" s="158">
        <v>296</v>
      </c>
      <c r="F410" s="157" t="s">
        <v>765</v>
      </c>
      <c r="G410" s="147" t="s">
        <v>392</v>
      </c>
      <c r="H410" s="155" t="s">
        <v>174</v>
      </c>
      <c r="I410" s="134" t="s">
        <v>165</v>
      </c>
      <c r="J410" s="134" t="s">
        <v>157</v>
      </c>
      <c r="K410" s="135">
        <v>17.36</v>
      </c>
      <c r="L410" s="135">
        <f>Table1368[[#This Row],[Prix total Achat]]-Table1368[[#This Row],[Prix article]]</f>
        <v>9.928734933333331</v>
      </c>
      <c r="M410" s="135">
        <v>27.28873493333333</v>
      </c>
      <c r="N410" s="134">
        <v>46302</v>
      </c>
      <c r="O410" s="136">
        <f>(Table1368[[#This Row],[Prix total Achat]]*2)</f>
        <v>54.57746986666666</v>
      </c>
      <c r="P410" s="136">
        <f>Table1368[[#This Row],[Prix Min voulu (x2 )]]*1.2</f>
        <v>65.49296383999999</v>
      </c>
      <c r="Q410" s="134"/>
      <c r="R410" s="134"/>
      <c r="S410" s="135"/>
      <c r="T410" s="134"/>
      <c r="U410" s="134"/>
      <c r="V410" s="137">
        <f>IF(ISBLANK(Table1368[[#This Row],[Date réception Achat]]),"",IF(ISBLANK(Table1368[[#This Row],[Date revente]]),TODAY(),Table1368[[#This Row],[Date revente]])-Table1368[[#This Row],[Date réception Achat]])</f>
        <v>1</v>
      </c>
      <c r="W410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(reçu)</v>
      </c>
      <c r="X410" s="135">
        <f>IF(Table1368[[#This Row],[Prix de revente]]="","",Table1368[[#This Row],[Prix de revente]]-Table1368[[#This Row],[Prix total Achat]])</f>
      </c>
      <c r="Y410" s="138">
        <f>IF(Table1368[[#This Row],[Prix de revente]]="","",(Table1368[[#This Row],[Prix de revente]]/Table1368[[#This Row],[Prix total Achat]]))</f>
      </c>
      <c r="Z410" s="139">
        <f>IF(ISBLANK(Table1368[[#This Row],[Date réception Achat]]),"",IF(ISBLANK(Table1368[[#This Row],[Date réception Achat]]),TODAY(),Table1368[[#This Row],[Date réception Achat]])-Table1368[[#This Row],[Date achat]])</f>
        <v>7</v>
      </c>
      <c r="AA410" s="139">
        <f>IF(ISBLANK(Table1368[[#This Row],[Date relisting]]),"",IF(ISBLANK(Table1368[[#This Row],[Date relisting]]),TODAY(),Table1368[[#This Row],[Date relisting]])-Table1368[[#This Row],[Date réception Achat]])</f>
      </c>
      <c r="AB410" s="139">
        <f>IF(ISBLANK(Table1368[[#This Row],[Date revente]]),"",IF(ISBLANK(Table1368[[#This Row],[Date revente]]),TODAY(),Table1368[[#This Row],[Date revente]])-Table1368[[#This Row],[Date relisting]])</f>
      </c>
      <c r="AC410" s="139">
        <f>IF(ISBLANK(Table1368[[#This Row],[Date revente]]),"",IF(ISBLANK(Table1368[[#This Row],[Date revente]]),TODAY(),Table1368[[#This Row],[Date revente]])-Table1368[[#This Row],[Date réception Achat]])</f>
      </c>
      <c r="AD410" s="139">
        <f>IF(ISBLANK(Table1368[[#This Row],[Date revente]]),"",IF(ISBLANK(Table1368[[#This Row],[Date revente]]),TODAY(),Table1368[[#This Row],[Date revente]])-Table1368[[#This Row],[Date achat]])</f>
      </c>
    </row>
    <row r="411" spans="1:30" x14ac:dyDescent="0.25">
      <c r="A411" s="134">
        <v>46298</v>
      </c>
      <c r="B411" s="141" t="s">
        <v>1045</v>
      </c>
      <c r="C411" s="157" t="s">
        <v>1113</v>
      </c>
      <c r="D411" s="156" t="s">
        <v>157</v>
      </c>
      <c r="E411" s="156" t="s">
        <v>29</v>
      </c>
      <c r="F411" s="157" t="s">
        <v>765</v>
      </c>
      <c r="G411" s="134" t="s">
        <v>163</v>
      </c>
      <c r="H411" s="155" t="s">
        <v>178</v>
      </c>
      <c r="I411" s="134" t="s">
        <v>160</v>
      </c>
      <c r="J411" s="134" t="s">
        <v>157</v>
      </c>
      <c r="K411" s="135">
        <v>20</v>
      </c>
      <c r="L411" s="135">
        <f>Table1368[[#This Row],[Prix total Achat]]-Table1368[[#This Row],[Prix article]]</f>
        <v>6.149999999999999</v>
      </c>
      <c r="M411" s="135">
        <v>26.15</v>
      </c>
      <c r="N411" s="134"/>
      <c r="O411" s="136">
        <f>(Table1368[[#This Row],[Prix total Achat]]*2)</f>
        <v>52.3</v>
      </c>
      <c r="P411" s="136">
        <f>Table1368[[#This Row],[Prix Min voulu (x2 )]]*1.2</f>
        <v>62.75999999999999</v>
      </c>
      <c r="Q411" s="134"/>
      <c r="R411" s="134"/>
      <c r="S411" s="135"/>
      <c r="T411" s="134"/>
      <c r="U411" s="134"/>
      <c r="V411" s="137">
        <f>IF(ISBLANK(Table1368[[#This Row],[Date réception Achat]]),"",IF(ISBLANK(Table1368[[#This Row],[Date revente]]),TODAY(),Table1368[[#This Row],[Date revente]])-Table1368[[#This Row],[Date réception Achat]])</f>
      </c>
      <c r="W411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411" s="135">
        <f>IF(Table1368[[#This Row],[Prix de revente]]="","",Table1368[[#This Row],[Prix de revente]]-Table1368[[#This Row],[Prix total Achat]])</f>
      </c>
      <c r="Y411" s="138">
        <f>IF(Table1368[[#This Row],[Prix de revente]]="","",(Table1368[[#This Row],[Prix de revente]]/Table1368[[#This Row],[Prix total Achat]]))</f>
      </c>
      <c r="Z411" s="139">
        <f>IF(ISBLANK(Table1368[[#This Row],[Date réception Achat]]),"",IF(ISBLANK(Table1368[[#This Row],[Date réception Achat]]),TODAY(),Table1368[[#This Row],[Date réception Achat]])-Table1368[[#This Row],[Date achat]])</f>
      </c>
      <c r="AA411" s="139">
        <f>IF(ISBLANK(Table1368[[#This Row],[Date relisting]]),"",IF(ISBLANK(Table1368[[#This Row],[Date relisting]]),TODAY(),Table1368[[#This Row],[Date relisting]])-Table1368[[#This Row],[Date réception Achat]])</f>
      </c>
      <c r="AB411" s="139">
        <f>IF(ISBLANK(Table1368[[#This Row],[Date revente]]),"",IF(ISBLANK(Table1368[[#This Row],[Date revente]]),TODAY(),Table1368[[#This Row],[Date revente]])-Table1368[[#This Row],[Date relisting]])</f>
      </c>
      <c r="AC411" s="139">
        <f>IF(ISBLANK(Table1368[[#This Row],[Date revente]]),"",IF(ISBLANK(Table1368[[#This Row],[Date revente]]),TODAY(),Table1368[[#This Row],[Date revente]])-Table1368[[#This Row],[Date réception Achat]])</f>
      </c>
      <c r="AD411" s="139">
        <f>IF(ISBLANK(Table1368[[#This Row],[Date revente]]),"",IF(ISBLANK(Table1368[[#This Row],[Date revente]]),TODAY(),Table1368[[#This Row],[Date revente]])-Table1368[[#This Row],[Date achat]])</f>
      </c>
    </row>
    <row r="412" spans="1:30" x14ac:dyDescent="0.25">
      <c r="A412" s="134">
        <v>46298</v>
      </c>
      <c r="B412" s="141" t="s">
        <v>1114</v>
      </c>
      <c r="C412" s="157" t="s">
        <v>1115</v>
      </c>
      <c r="D412" s="156" t="s">
        <v>157</v>
      </c>
      <c r="E412" s="156" t="s">
        <v>29</v>
      </c>
      <c r="F412" s="156" t="s">
        <v>755</v>
      </c>
      <c r="G412" s="134" t="s">
        <v>378</v>
      </c>
      <c r="H412" s="127" t="s">
        <v>998</v>
      </c>
      <c r="I412" s="134" t="s">
        <v>160</v>
      </c>
      <c r="J412" s="134" t="s">
        <v>157</v>
      </c>
      <c r="K412" s="135">
        <v>10</v>
      </c>
      <c r="L412" s="135">
        <f>Table1368[[#This Row],[Prix total Achat]]-Table1368[[#This Row],[Prix article]]</f>
        <v>4.99</v>
      </c>
      <c r="M412" s="135">
        <v>14.99</v>
      </c>
      <c r="N412" s="134"/>
      <c r="O412" s="136">
        <f>(Table1368[[#This Row],[Prix total Achat]]*2)</f>
        <v>29.98</v>
      </c>
      <c r="P412" s="136">
        <f>Table1368[[#This Row],[Prix Min voulu (x2 )]]*1.2</f>
        <v>35.976</v>
      </c>
      <c r="Q412" s="134"/>
      <c r="R412" s="134"/>
      <c r="S412" s="135"/>
      <c r="T412" s="134"/>
      <c r="U412" s="134"/>
      <c r="V412" s="137">
        <f>IF(ISBLANK(Table1368[[#This Row],[Date réception Achat]]),"",IF(ISBLANK(Table1368[[#This Row],[Date revente]]),TODAY(),Table1368[[#This Row],[Date revente]])-Table1368[[#This Row],[Date réception Achat]])</f>
      </c>
      <c r="W412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412" s="135">
        <f>IF(Table1368[[#This Row],[Prix de revente]]="","",Table1368[[#This Row],[Prix de revente]]-Table1368[[#This Row],[Prix total Achat]])</f>
      </c>
      <c r="Y412" s="138">
        <f>IF(Table1368[[#This Row],[Prix de revente]]="","",(Table1368[[#This Row],[Prix de revente]]/Table1368[[#This Row],[Prix total Achat]]))</f>
      </c>
      <c r="Z412" s="139">
        <f>IF(ISBLANK(Table1368[[#This Row],[Date réception Achat]]),"",IF(ISBLANK(Table1368[[#This Row],[Date réception Achat]]),TODAY(),Table1368[[#This Row],[Date réception Achat]])-Table1368[[#This Row],[Date achat]])</f>
      </c>
      <c r="AA412" s="139">
        <f>IF(ISBLANK(Table1368[[#This Row],[Date relisting]]),"",IF(ISBLANK(Table1368[[#This Row],[Date relisting]]),TODAY(),Table1368[[#This Row],[Date relisting]])-Table1368[[#This Row],[Date réception Achat]])</f>
      </c>
      <c r="AB412" s="139">
        <f>IF(ISBLANK(Table1368[[#This Row],[Date revente]]),"",IF(ISBLANK(Table1368[[#This Row],[Date revente]]),TODAY(),Table1368[[#This Row],[Date revente]])-Table1368[[#This Row],[Date relisting]])</f>
      </c>
      <c r="AC412" s="139">
        <f>IF(ISBLANK(Table1368[[#This Row],[Date revente]]),"",IF(ISBLANK(Table1368[[#This Row],[Date revente]]),TODAY(),Table1368[[#This Row],[Date revente]])-Table1368[[#This Row],[Date réception Achat]])</f>
      </c>
      <c r="AD412" s="139">
        <f>IF(ISBLANK(Table1368[[#This Row],[Date revente]]),"",IF(ISBLANK(Table1368[[#This Row],[Date revente]]),TODAY(),Table1368[[#This Row],[Date revente]])-Table1368[[#This Row],[Date achat]])</f>
      </c>
    </row>
    <row r="413" spans="1:30" x14ac:dyDescent="0.25">
      <c r="A413" s="134">
        <v>46298</v>
      </c>
      <c r="B413" s="141" t="s">
        <v>1116</v>
      </c>
      <c r="C413" s="157" t="s">
        <v>1117</v>
      </c>
      <c r="D413" s="156" t="s">
        <v>157</v>
      </c>
      <c r="E413" s="156" t="s">
        <v>29</v>
      </c>
      <c r="F413" s="156" t="s">
        <v>1076</v>
      </c>
      <c r="G413" s="159" t="s">
        <v>882</v>
      </c>
      <c r="H413" s="155" t="s">
        <v>213</v>
      </c>
      <c r="I413" s="134" t="s">
        <v>160</v>
      </c>
      <c r="J413" s="134" t="s">
        <v>157</v>
      </c>
      <c r="K413" s="135">
        <v>30</v>
      </c>
      <c r="L413" s="135">
        <f>Table1368[[#This Row],[Prix total Achat]]-Table1368[[#This Row],[Prix article]]</f>
        <v>7.700000000000003</v>
      </c>
      <c r="M413" s="135">
        <v>37.7</v>
      </c>
      <c r="N413" s="134"/>
      <c r="O413" s="136">
        <f>(Table1368[[#This Row],[Prix total Achat]]*2)</f>
        <v>75.4</v>
      </c>
      <c r="P413" s="136">
        <f>Table1368[[#This Row],[Prix Min voulu (x2 )]]*1.2</f>
        <v>90.48</v>
      </c>
      <c r="Q413" s="134"/>
      <c r="R413" s="134"/>
      <c r="S413" s="135"/>
      <c r="T413" s="134"/>
      <c r="U413" s="134"/>
      <c r="V413" s="137">
        <f>IF(ISBLANK(Table1368[[#This Row],[Date réception Achat]]),"",IF(ISBLANK(Table1368[[#This Row],[Date revente]]),TODAY(),Table1368[[#This Row],[Date revente]])-Table1368[[#This Row],[Date réception Achat]])</f>
      </c>
      <c r="W413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413" s="135">
        <f>IF(Table1368[[#This Row],[Prix de revente]]="","",Table1368[[#This Row],[Prix de revente]]-Table1368[[#This Row],[Prix total Achat]])</f>
      </c>
      <c r="Y413" s="138">
        <f>IF(Table1368[[#This Row],[Prix de revente]]="","",(Table1368[[#This Row],[Prix de revente]]/Table1368[[#This Row],[Prix total Achat]]))</f>
      </c>
      <c r="Z413" s="139">
        <f>IF(ISBLANK(Table1368[[#This Row],[Date réception Achat]]),"",IF(ISBLANK(Table1368[[#This Row],[Date réception Achat]]),TODAY(),Table1368[[#This Row],[Date réception Achat]])-Table1368[[#This Row],[Date achat]])</f>
      </c>
      <c r="AA413" s="139">
        <f>IF(ISBLANK(Table1368[[#This Row],[Date relisting]]),"",IF(ISBLANK(Table1368[[#This Row],[Date relisting]]),TODAY(),Table1368[[#This Row],[Date relisting]])-Table1368[[#This Row],[Date réception Achat]])</f>
      </c>
      <c r="AB413" s="139">
        <f>IF(ISBLANK(Table1368[[#This Row],[Date revente]]),"",IF(ISBLANK(Table1368[[#This Row],[Date revente]]),TODAY(),Table1368[[#This Row],[Date revente]])-Table1368[[#This Row],[Date relisting]])</f>
      </c>
      <c r="AC413" s="139">
        <f>IF(ISBLANK(Table1368[[#This Row],[Date revente]]),"",IF(ISBLANK(Table1368[[#This Row],[Date revente]]),TODAY(),Table1368[[#This Row],[Date revente]])-Table1368[[#This Row],[Date réception Achat]])</f>
      </c>
      <c r="AD413" s="139">
        <f>IF(ISBLANK(Table1368[[#This Row],[Date revente]]),"",IF(ISBLANK(Table1368[[#This Row],[Date revente]]),TODAY(),Table1368[[#This Row],[Date revente]])-Table1368[[#This Row],[Date achat]])</f>
      </c>
    </row>
    <row r="414" spans="1:30" x14ac:dyDescent="0.25">
      <c r="A414" s="134">
        <v>46300</v>
      </c>
      <c r="B414" s="141" t="s">
        <v>1118</v>
      </c>
      <c r="C414" s="157" t="s">
        <v>1119</v>
      </c>
      <c r="D414" s="156" t="s">
        <v>157</v>
      </c>
      <c r="E414" s="156" t="s">
        <v>29</v>
      </c>
      <c r="F414" s="156" t="s">
        <v>309</v>
      </c>
      <c r="G414" s="159" t="s">
        <v>1120</v>
      </c>
      <c r="H414" s="155" t="s">
        <v>1121</v>
      </c>
      <c r="I414" s="134" t="s">
        <v>160</v>
      </c>
      <c r="J414" s="134" t="s">
        <v>157</v>
      </c>
      <c r="K414" s="135">
        <v>12</v>
      </c>
      <c r="L414" s="135">
        <f>Table1368[[#This Row],[Prix total Achat]]-Table1368[[#This Row],[Prix article]]</f>
        <v>4.129999999999999</v>
      </c>
      <c r="M414" s="135">
        <v>16.13</v>
      </c>
      <c r="N414" s="134"/>
      <c r="O414" s="136">
        <f>(Table1368[[#This Row],[Prix total Achat]]*2)</f>
        <v>32.26</v>
      </c>
      <c r="P414" s="136">
        <f>Table1368[[#This Row],[Prix Min voulu (x2 )]]*1.2</f>
        <v>38.711999999999996</v>
      </c>
      <c r="Q414" s="134"/>
      <c r="R414" s="134"/>
      <c r="S414" s="135"/>
      <c r="T414" s="134"/>
      <c r="U414" s="134"/>
      <c r="V414" s="137">
        <f>IF(ISBLANK(Table1368[[#This Row],[Date réception Achat]]),"",IF(ISBLANK(Table1368[[#This Row],[Date revente]]),TODAY(),Table1368[[#This Row],[Date revente]])-Table1368[[#This Row],[Date réception Achat]])</f>
      </c>
      <c r="W414" t="str">
        <f>IF(Table1368[[#This Row],[Date revente]]&lt;&gt;"","Vendu (clôturé)",IF(Table1368[[#This Row],[Date relisting]]&lt;&gt;"","Listé",IF(Table1368[[#This Row],[Date réception Achat]]&lt;&gt;"","Acheté (reçu)",IF(Table1368[[#This Row],[Date achat]]&lt;&gt;"","Acheté (en attente)",""))))</f>
        <v>Acheté (en attente)</v>
      </c>
      <c r="X414" s="135">
        <f>IF(Table1368[[#This Row],[Prix de revente]]="","",Table1368[[#This Row],[Prix de revente]]-Table1368[[#This Row],[Prix total Achat]])</f>
      </c>
      <c r="Y414" s="138">
        <f>IF(Table1368[[#This Row],[Prix de revente]]="","",(Table1368[[#This Row],[Prix de revente]]/Table1368[[#This Row],[Prix total Achat]]))</f>
      </c>
      <c r="Z414" s="139">
        <f>IF(ISBLANK(Table1368[[#This Row],[Date réception Achat]]),"",IF(ISBLANK(Table1368[[#This Row],[Date réception Achat]]),TODAY(),Table1368[[#This Row],[Date réception Achat]])-Table1368[[#This Row],[Date achat]])</f>
      </c>
      <c r="AA414" s="139">
        <f>IF(ISBLANK(Table1368[[#This Row],[Date relisting]]),"",IF(ISBLANK(Table1368[[#This Row],[Date relisting]]),TODAY(),Table1368[[#This Row],[Date relisting]])-Table1368[[#This Row],[Date réception Achat]])</f>
      </c>
      <c r="AB414" s="139">
        <f>IF(ISBLANK(Table1368[[#This Row],[Date revente]]),"",IF(ISBLANK(Table1368[[#This Row],[Date revente]]),TODAY(),Table1368[[#This Row],[Date revente]])-Table1368[[#This Row],[Date relisting]])</f>
      </c>
      <c r="AC414" s="139">
        <f>IF(ISBLANK(Table1368[[#This Row],[Date revente]]),"",IF(ISBLANK(Table1368[[#This Row],[Date revente]]),TODAY(),Table1368[[#This Row],[Date revente]])-Table1368[[#This Row],[Date réception Achat]])</f>
      </c>
      <c r="AD414" s="139">
        <f>IF(ISBLANK(Table1368[[#This Row],[Date revente]]),"",IF(ISBLANK(Table1368[[#This Row],[Date revente]]),TODAY(),Table1368[[#This Row],[Date revente]])-Table1368[[#This Row],[Date achat]])</f>
      </c>
    </row>
    <row r="415" spans="13:14" x14ac:dyDescent="0.25">
      <c r="M415" s="134"/>
      <c r="N415" s="134"/>
    </row>
    <row r="416" spans="13:14" x14ac:dyDescent="0.25">
      <c r="M416" s="134"/>
      <c r="N416" s="134"/>
    </row>
    <row r="417" spans="13:14" x14ac:dyDescent="0.25">
      <c r="M417" s="134"/>
      <c r="N417" s="134"/>
    </row>
    <row r="418" spans="13:14" x14ac:dyDescent="0.25">
      <c r="M418" s="134"/>
      <c r="N418" s="134"/>
    </row>
    <row r="419" spans="13:14" x14ac:dyDescent="0.25">
      <c r="M419" s="134"/>
      <c r="N419" s="134"/>
    </row>
    <row r="420" spans="13:14" x14ac:dyDescent="0.25">
      <c r="M420" s="134"/>
      <c r="N420" s="134"/>
    </row>
    <row r="421" spans="13:14" x14ac:dyDescent="0.25">
      <c r="M421" s="134"/>
      <c r="N421" s="134"/>
    </row>
    <row r="422" spans="13:14" x14ac:dyDescent="0.25">
      <c r="M422" s="134"/>
      <c r="N422" s="134"/>
    </row>
    <row r="423" spans="13:14" x14ac:dyDescent="0.25">
      <c r="M423" s="134"/>
      <c r="N423" s="134"/>
    </row>
    <row r="424" spans="13:14" x14ac:dyDescent="0.25">
      <c r="M424" s="134"/>
      <c r="N424" s="134"/>
    </row>
    <row r="425" spans="13:14" x14ac:dyDescent="0.25">
      <c r="M425" s="134"/>
      <c r="N425" s="134"/>
    </row>
    <row r="426" spans="13:14" x14ac:dyDescent="0.25">
      <c r="M426" s="134"/>
      <c r="N426" s="134"/>
    </row>
    <row r="427" spans="13:14" x14ac:dyDescent="0.25">
      <c r="M427" s="134"/>
      <c r="N427" s="134"/>
    </row>
    <row r="428" spans="13:14" x14ac:dyDescent="0.25">
      <c r="M428" s="134"/>
      <c r="N428" s="134"/>
    </row>
    <row r="429" spans="13:14" x14ac:dyDescent="0.25">
      <c r="M429" s="134"/>
      <c r="N429" s="134"/>
    </row>
    <row r="430" spans="13:14" x14ac:dyDescent="0.25">
      <c r="M430" s="134"/>
      <c r="N430" s="134"/>
    </row>
    <row r="431" spans="13:14" x14ac:dyDescent="0.25">
      <c r="M431" s="134"/>
      <c r="N431" s="134"/>
    </row>
    <row r="432" spans="13:14" x14ac:dyDescent="0.25">
      <c r="M432" s="134"/>
      <c r="N432" s="134"/>
    </row>
    <row r="433" spans="13:14" x14ac:dyDescent="0.25">
      <c r="M433" s="134"/>
      <c r="N433" s="134"/>
    </row>
    <row r="434" spans="13:14" x14ac:dyDescent="0.25">
      <c r="M434" s="134"/>
      <c r="N434" s="134"/>
    </row>
    <row r="435" spans="13:14" x14ac:dyDescent="0.25">
      <c r="M435" s="134"/>
      <c r="N435" s="134"/>
    </row>
    <row r="436" spans="13:14" x14ac:dyDescent="0.25">
      <c r="M436" s="134"/>
      <c r="N436" s="134"/>
    </row>
    <row r="437" spans="13:14" x14ac:dyDescent="0.25">
      <c r="M437" s="134"/>
      <c r="N437" s="134"/>
    </row>
    <row r="438" spans="13:14" x14ac:dyDescent="0.25">
      <c r="M438" s="134"/>
      <c r="N438" s="134"/>
    </row>
    <row r="439" spans="13:14" x14ac:dyDescent="0.25">
      <c r="M439" s="134"/>
      <c r="N439" s="134"/>
    </row>
    <row r="440" spans="13:14" x14ac:dyDescent="0.25">
      <c r="M440" s="134"/>
      <c r="N440" s="134"/>
    </row>
    <row r="441" spans="13:14" x14ac:dyDescent="0.25">
      <c r="M441" s="134"/>
      <c r="N441" s="134"/>
    </row>
    <row r="442" spans="13:14" x14ac:dyDescent="0.25">
      <c r="M442" s="134"/>
      <c r="N442" s="134"/>
    </row>
    <row r="443" spans="13:14" x14ac:dyDescent="0.25">
      <c r="M443" s="134"/>
      <c r="N443" s="134"/>
    </row>
    <row r="444" spans="13:14" x14ac:dyDescent="0.25">
      <c r="M444" s="134"/>
      <c r="N444" s="134"/>
    </row>
    <row r="445" spans="13:14" x14ac:dyDescent="0.25">
      <c r="M445" s="134"/>
      <c r="N445" s="134"/>
    </row>
    <row r="446" spans="13:14" x14ac:dyDescent="0.25">
      <c r="M446" s="134"/>
      <c r="N446" s="134"/>
    </row>
    <row r="447" spans="13:14" x14ac:dyDescent="0.25">
      <c r="M447" s="134"/>
      <c r="N447" s="134"/>
    </row>
    <row r="448" spans="13:14" x14ac:dyDescent="0.25">
      <c r="M448" s="134"/>
      <c r="N448" s="134"/>
    </row>
    <row r="449" spans="13:14" x14ac:dyDescent="0.25">
      <c r="M449" s="134"/>
      <c r="N449" s="134"/>
    </row>
    <row r="450" spans="13:14" x14ac:dyDescent="0.25">
      <c r="M450" s="134"/>
      <c r="N450" s="134"/>
    </row>
    <row r="451" spans="13:14" x14ac:dyDescent="0.25">
      <c r="M451" s="134"/>
      <c r="N451" s="134"/>
    </row>
    <row r="452" spans="13:14" x14ac:dyDescent="0.25">
      <c r="M452" s="134"/>
      <c r="N452" s="134"/>
    </row>
    <row r="453" spans="13:14" x14ac:dyDescent="0.25">
      <c r="M453" s="134"/>
      <c r="N453" s="134"/>
    </row>
    <row r="454" spans="13:14" x14ac:dyDescent="0.25">
      <c r="M454" s="134"/>
      <c r="N454" s="134"/>
    </row>
    <row r="455" spans="13:14" x14ac:dyDescent="0.25">
      <c r="M455" s="134"/>
      <c r="N455" s="134"/>
    </row>
    <row r="456" spans="13:14" x14ac:dyDescent="0.25">
      <c r="M456" s="134"/>
      <c r="N456" s="134"/>
    </row>
    <row r="457" spans="13:14" x14ac:dyDescent="0.25">
      <c r="M457" s="134"/>
      <c r="N457" s="134"/>
    </row>
    <row r="458" spans="13:14" x14ac:dyDescent="0.25">
      <c r="M458" s="134"/>
      <c r="N458" s="134"/>
    </row>
    <row r="459" spans="13:14" x14ac:dyDescent="0.25">
      <c r="M459" s="134"/>
      <c r="N459" s="134"/>
    </row>
    <row r="460" spans="13:14" x14ac:dyDescent="0.25">
      <c r="M460" s="134"/>
      <c r="N460" s="134"/>
    </row>
    <row r="461" spans="13:14" x14ac:dyDescent="0.25">
      <c r="M461" s="134"/>
      <c r="N461" s="134"/>
    </row>
    <row r="462" spans="13:14" x14ac:dyDescent="0.25">
      <c r="M462" s="134"/>
      <c r="N462" s="134"/>
    </row>
    <row r="463" spans="13:14" x14ac:dyDescent="0.25">
      <c r="M463" s="134"/>
      <c r="N463" s="134"/>
    </row>
    <row r="464" spans="13:14" x14ac:dyDescent="0.25">
      <c r="M464" s="134"/>
      <c r="N464" s="134"/>
    </row>
    <row r="465" spans="13:14" x14ac:dyDescent="0.25">
      <c r="M465" s="134"/>
      <c r="N465" s="134"/>
    </row>
    <row r="466" spans="13:14" x14ac:dyDescent="0.25">
      <c r="M466" s="134"/>
      <c r="N466" s="134"/>
    </row>
    <row r="467" spans="13:14" x14ac:dyDescent="0.25">
      <c r="M467" s="134"/>
      <c r="N467" s="134"/>
    </row>
    <row r="468" spans="13:14" x14ac:dyDescent="0.25">
      <c r="M468" s="134"/>
      <c r="N468" s="134"/>
    </row>
    <row r="469" spans="13:14" x14ac:dyDescent="0.25">
      <c r="M469" s="134"/>
      <c r="N469" s="134"/>
    </row>
    <row r="470" spans="13:14" x14ac:dyDescent="0.25">
      <c r="M470" s="134"/>
      <c r="N470" s="134"/>
    </row>
    <row r="471" spans="13:14" x14ac:dyDescent="0.25">
      <c r="M471" s="134"/>
      <c r="N471" s="134"/>
    </row>
    <row r="472" spans="13:14" x14ac:dyDescent="0.25">
      <c r="M472" s="134"/>
      <c r="N472" s="134"/>
    </row>
    <row r="473" spans="13:14" x14ac:dyDescent="0.25">
      <c r="M473" s="134"/>
      <c r="N473" s="134"/>
    </row>
    <row r="474" spans="13:14" x14ac:dyDescent="0.25">
      <c r="M474" s="134"/>
      <c r="N474" s="134"/>
    </row>
    <row r="475" spans="13:14" x14ac:dyDescent="0.25">
      <c r="M475" s="134"/>
      <c r="N475" s="134"/>
    </row>
    <row r="476" spans="13:14" x14ac:dyDescent="0.25">
      <c r="M476" s="134"/>
      <c r="N476" s="134"/>
    </row>
    <row r="477" spans="13:14" x14ac:dyDescent="0.25">
      <c r="M477" s="134"/>
      <c r="N477" s="134"/>
    </row>
    <row r="478" spans="13:14" x14ac:dyDescent="0.25">
      <c r="M478" s="134"/>
      <c r="N478" s="134"/>
    </row>
    <row r="479" spans="13:14" x14ac:dyDescent="0.25">
      <c r="M479" s="134"/>
      <c r="N479" s="134"/>
    </row>
    <row r="480" spans="13:14" x14ac:dyDescent="0.25">
      <c r="M480" s="134"/>
      <c r="N480" s="134"/>
    </row>
    <row r="481" spans="13:14" x14ac:dyDescent="0.25">
      <c r="M481" s="134"/>
      <c r="N481" s="134"/>
    </row>
    <row r="482" spans="13:14" x14ac:dyDescent="0.25">
      <c r="M482" s="134"/>
      <c r="N482" s="134"/>
    </row>
    <row r="483" spans="13:14" x14ac:dyDescent="0.25">
      <c r="M483" s="134"/>
      <c r="N483" s="134"/>
    </row>
    <row r="484" spans="13:14" x14ac:dyDescent="0.25">
      <c r="M484" s="134"/>
      <c r="N484" s="134"/>
    </row>
    <row r="485" spans="13:14" x14ac:dyDescent="0.25">
      <c r="M485" s="134"/>
      <c r="N485" s="134"/>
    </row>
    <row r="486" spans="13:14" x14ac:dyDescent="0.25">
      <c r="M486" s="134"/>
      <c r="N486" s="134"/>
    </row>
    <row r="487" spans="13:14" x14ac:dyDescent="0.25">
      <c r="M487" s="134"/>
      <c r="N487" s="134"/>
    </row>
    <row r="488" spans="13:14" x14ac:dyDescent="0.25">
      <c r="M488" s="134"/>
      <c r="N488" s="134"/>
    </row>
    <row r="489" spans="13:14" x14ac:dyDescent="0.25">
      <c r="M489" s="134"/>
      <c r="N489" s="134"/>
    </row>
    <row r="490" spans="13:14" x14ac:dyDescent="0.25">
      <c r="M490" s="134"/>
      <c r="N490" s="134"/>
    </row>
    <row r="491" spans="13:14" x14ac:dyDescent="0.25">
      <c r="M491" s="134"/>
      <c r="N491" s="134"/>
    </row>
    <row r="492" spans="13:14" x14ac:dyDescent="0.25">
      <c r="M492" s="134"/>
      <c r="N492" s="134"/>
    </row>
    <row r="493" spans="13:14" x14ac:dyDescent="0.25">
      <c r="M493" s="134"/>
      <c r="N493" s="134"/>
    </row>
    <row r="494" spans="13:14" x14ac:dyDescent="0.25">
      <c r="M494" s="134"/>
      <c r="N494" s="134"/>
    </row>
    <row r="495" spans="13:14" x14ac:dyDescent="0.25">
      <c r="M495" s="134"/>
      <c r="N495" s="134"/>
    </row>
    <row r="496" spans="13:14" x14ac:dyDescent="0.25">
      <c r="M496" s="134"/>
      <c r="N496" s="134"/>
    </row>
    <row r="497" spans="13:14" x14ac:dyDescent="0.25">
      <c r="M497" s="134"/>
      <c r="N497" s="134"/>
    </row>
    <row r="498" spans="13:14" x14ac:dyDescent="0.25">
      <c r="M498" s="134"/>
      <c r="N498" s="134"/>
    </row>
    <row r="499" spans="13:14" x14ac:dyDescent="0.25">
      <c r="M499" s="134"/>
      <c r="N499" s="134"/>
    </row>
    <row r="500" spans="13:14" x14ac:dyDescent="0.25">
      <c r="M500" s="134"/>
      <c r="N500" s="134"/>
    </row>
    <row r="501" spans="13:14" x14ac:dyDescent="0.25">
      <c r="M501" s="134"/>
      <c r="N501" s="134"/>
    </row>
    <row r="502" spans="13:14" x14ac:dyDescent="0.25">
      <c r="M502" s="134"/>
      <c r="N502" s="134"/>
    </row>
    <row r="503" spans="13:14" x14ac:dyDescent="0.25">
      <c r="M503" s="134"/>
      <c r="N503" s="134"/>
    </row>
    <row r="504" spans="13:14" x14ac:dyDescent="0.25">
      <c r="M504" s="134"/>
      <c r="N504" s="134"/>
    </row>
    <row r="505" spans="13:14" x14ac:dyDescent="0.25">
      <c r="M505" s="134"/>
      <c r="N505" s="134"/>
    </row>
    <row r="506" spans="13:14" x14ac:dyDescent="0.25">
      <c r="M506" s="134"/>
      <c r="N506" s="134"/>
    </row>
    <row r="507" spans="13:14" x14ac:dyDescent="0.25">
      <c r="M507" s="134"/>
      <c r="N507" s="134"/>
    </row>
    <row r="508" spans="13:14" x14ac:dyDescent="0.25">
      <c r="M508" s="134"/>
      <c r="N508" s="134"/>
    </row>
    <row r="509" spans="13:14" x14ac:dyDescent="0.25">
      <c r="M509" s="134"/>
      <c r="N509" s="134"/>
    </row>
    <row r="510" spans="13:14" x14ac:dyDescent="0.25">
      <c r="M510" s="134"/>
      <c r="N510" s="134"/>
    </row>
    <row r="511" spans="13:14" x14ac:dyDescent="0.25">
      <c r="M511" s="134"/>
      <c r="N511" s="134"/>
    </row>
    <row r="512" spans="13:14" x14ac:dyDescent="0.25">
      <c r="M512" s="134"/>
      <c r="N512" s="134"/>
    </row>
    <row r="513" spans="13:14" x14ac:dyDescent="0.25">
      <c r="M513" s="134"/>
      <c r="N513" s="134"/>
    </row>
    <row r="514" spans="13:14" x14ac:dyDescent="0.25">
      <c r="M514" s="134"/>
      <c r="N514" s="134"/>
    </row>
    <row r="515" spans="13:14" x14ac:dyDescent="0.25">
      <c r="M515" s="134"/>
      <c r="N515" s="134"/>
    </row>
    <row r="516" spans="13:14" x14ac:dyDescent="0.25">
      <c r="M516" s="134"/>
      <c r="N516" s="134"/>
    </row>
    <row r="517" spans="13:14" x14ac:dyDescent="0.25">
      <c r="M517" s="134"/>
      <c r="N517" s="134"/>
    </row>
    <row r="518" spans="13:14" x14ac:dyDescent="0.25">
      <c r="M518" s="134"/>
      <c r="N518" s="134"/>
    </row>
    <row r="519" spans="13:14" x14ac:dyDescent="0.25">
      <c r="M519" s="134"/>
      <c r="N519" s="134"/>
    </row>
    <row r="520" spans="13:14" x14ac:dyDescent="0.25">
      <c r="M520" s="134"/>
      <c r="N520" s="134"/>
    </row>
    <row r="521" spans="13:14" x14ac:dyDescent="0.25">
      <c r="M521" s="134"/>
      <c r="N521" s="134"/>
    </row>
    <row r="522" spans="13:14" x14ac:dyDescent="0.25">
      <c r="M522" s="134"/>
      <c r="N522" s="134"/>
    </row>
    <row r="523" spans="13:14" x14ac:dyDescent="0.25">
      <c r="M523" s="134"/>
      <c r="N523" s="134"/>
    </row>
    <row r="524" spans="13:14" x14ac:dyDescent="0.25">
      <c r="M524" s="134"/>
      <c r="N524" s="134"/>
    </row>
    <row r="525" spans="13:14" x14ac:dyDescent="0.25">
      <c r="M525" s="134"/>
      <c r="N525" s="134"/>
    </row>
    <row r="526" spans="13:14" x14ac:dyDescent="0.25">
      <c r="M526" s="134"/>
      <c r="N526" s="134"/>
    </row>
    <row r="527" spans="13:14" x14ac:dyDescent="0.25">
      <c r="M527" s="134"/>
      <c r="N527" s="134"/>
    </row>
    <row r="528" spans="13:14" x14ac:dyDescent="0.25">
      <c r="M528" s="134"/>
      <c r="N528" s="134"/>
    </row>
    <row r="529" spans="13:14" x14ac:dyDescent="0.25">
      <c r="M529" s="134"/>
      <c r="N529" s="134"/>
    </row>
    <row r="530" spans="13:14" x14ac:dyDescent="0.25">
      <c r="M530" s="134"/>
      <c r="N530" s="134"/>
    </row>
    <row r="531" spans="13:14" x14ac:dyDescent="0.25">
      <c r="M531" s="134"/>
      <c r="N531" s="134"/>
    </row>
    <row r="532" spans="13:14" x14ac:dyDescent="0.25">
      <c r="M532" s="134"/>
      <c r="N532" s="134"/>
    </row>
    <row r="533" spans="13:14" x14ac:dyDescent="0.25">
      <c r="M533" s="134"/>
      <c r="N533" s="134"/>
    </row>
    <row r="534" spans="13:14" x14ac:dyDescent="0.25">
      <c r="M534" s="134"/>
      <c r="N534" s="134"/>
    </row>
    <row r="535" spans="13:14" x14ac:dyDescent="0.25">
      <c r="M535" s="134"/>
      <c r="N535" s="134"/>
    </row>
    <row r="536" spans="13:14" x14ac:dyDescent="0.25">
      <c r="M536" s="134"/>
      <c r="N536" s="134"/>
    </row>
    <row r="537" spans="13:14" x14ac:dyDescent="0.25">
      <c r="M537" s="134"/>
      <c r="N537" s="134"/>
    </row>
    <row r="538" spans="13:14" x14ac:dyDescent="0.25">
      <c r="M538" s="134"/>
      <c r="N538" s="134"/>
    </row>
    <row r="539" spans="13:14" x14ac:dyDescent="0.25">
      <c r="M539" s="134"/>
      <c r="N539" s="134"/>
    </row>
    <row r="540" spans="13:14" x14ac:dyDescent="0.25">
      <c r="M540" s="134"/>
      <c r="N540" s="134"/>
    </row>
    <row r="541" spans="13:14" x14ac:dyDescent="0.25">
      <c r="M541" s="134"/>
      <c r="N541" s="134"/>
    </row>
    <row r="542" spans="13:14" x14ac:dyDescent="0.25">
      <c r="M542" s="134"/>
      <c r="N542" s="134"/>
    </row>
    <row r="543" spans="13:14" x14ac:dyDescent="0.25">
      <c r="M543" s="134"/>
      <c r="N543" s="134"/>
    </row>
    <row r="544" spans="13:14" x14ac:dyDescent="0.25">
      <c r="M544" s="134"/>
      <c r="N544" s="134"/>
    </row>
    <row r="545" spans="13:14" x14ac:dyDescent="0.25">
      <c r="M545" s="134"/>
      <c r="N545" s="134"/>
    </row>
    <row r="546" spans="13:14" x14ac:dyDescent="0.25">
      <c r="M546" s="134"/>
      <c r="N546" s="134"/>
    </row>
    <row r="547" spans="13:14" x14ac:dyDescent="0.25">
      <c r="M547" s="134"/>
      <c r="N547" s="134"/>
    </row>
    <row r="548" spans="13:14" x14ac:dyDescent="0.25">
      <c r="M548" s="134"/>
      <c r="N548" s="134"/>
    </row>
    <row r="549" spans="13:14" x14ac:dyDescent="0.25">
      <c r="M549" s="134"/>
      <c r="N549" s="134"/>
    </row>
    <row r="550" spans="13:14" x14ac:dyDescent="0.25">
      <c r="M550" s="134"/>
      <c r="N550" s="134"/>
    </row>
    <row r="551" spans="13:14" x14ac:dyDescent="0.25">
      <c r="M551" s="134"/>
      <c r="N551" s="134"/>
    </row>
    <row r="552" spans="13:14" x14ac:dyDescent="0.25">
      <c r="M552" s="134"/>
      <c r="N552" s="134"/>
    </row>
    <row r="553" spans="13:14" x14ac:dyDescent="0.25">
      <c r="M553" s="134"/>
      <c r="N553" s="134"/>
    </row>
    <row r="554" spans="13:14" x14ac:dyDescent="0.25">
      <c r="M554" s="134"/>
      <c r="N554" s="134"/>
    </row>
    <row r="555" spans="13:14" x14ac:dyDescent="0.25">
      <c r="M555" s="134"/>
      <c r="N555" s="134"/>
    </row>
    <row r="556" spans="13:14" x14ac:dyDescent="0.25">
      <c r="M556" s="134"/>
      <c r="N556" s="134"/>
    </row>
    <row r="557" spans="13:14" x14ac:dyDescent="0.25">
      <c r="M557" s="134"/>
      <c r="N557" s="134"/>
    </row>
    <row r="558" spans="13:14" x14ac:dyDescent="0.25">
      <c r="M558" s="134"/>
      <c r="N558" s="134"/>
    </row>
    <row r="559" spans="13:14" x14ac:dyDescent="0.25">
      <c r="M559" s="134"/>
      <c r="N559" s="134"/>
    </row>
    <row r="560" spans="13:14" x14ac:dyDescent="0.25">
      <c r="M560" s="134"/>
      <c r="N560" s="134"/>
    </row>
    <row r="561" spans="13:14" x14ac:dyDescent="0.25">
      <c r="M561" s="134"/>
      <c r="N561" s="134"/>
    </row>
    <row r="562" spans="13:14" x14ac:dyDescent="0.25">
      <c r="M562" s="134"/>
      <c r="N562" s="134"/>
    </row>
    <row r="563" spans="13:14" x14ac:dyDescent="0.25">
      <c r="M563" s="134"/>
      <c r="N563" s="134"/>
    </row>
    <row r="564" spans="13:14" x14ac:dyDescent="0.25">
      <c r="M564" s="134"/>
      <c r="N564" s="134"/>
    </row>
    <row r="565" spans="13:14" x14ac:dyDescent="0.25">
      <c r="M565" s="134"/>
      <c r="N565" s="134"/>
    </row>
    <row r="566" spans="13:14" x14ac:dyDescent="0.25">
      <c r="M566" s="134"/>
      <c r="N566" s="134"/>
    </row>
    <row r="567" spans="13:14" x14ac:dyDescent="0.25">
      <c r="M567" s="134"/>
      <c r="N567" s="134"/>
    </row>
    <row r="568" spans="13:14" x14ac:dyDescent="0.25">
      <c r="M568" s="134"/>
      <c r="N568" s="134"/>
    </row>
    <row r="569" spans="13:14" x14ac:dyDescent="0.25">
      <c r="M569" s="134"/>
      <c r="N569" s="134"/>
    </row>
    <row r="570" spans="13:14" x14ac:dyDescent="0.25">
      <c r="M570" s="134"/>
      <c r="N570" s="134"/>
    </row>
    <row r="571" spans="13:14" x14ac:dyDescent="0.25">
      <c r="M571" s="134"/>
      <c r="N571" s="134"/>
    </row>
    <row r="572" spans="13:14" x14ac:dyDescent="0.25">
      <c r="M572" s="134"/>
      <c r="N572" s="134"/>
    </row>
    <row r="573" spans="13:14" x14ac:dyDescent="0.25">
      <c r="M573" s="134"/>
      <c r="N573" s="134"/>
    </row>
    <row r="574" spans="13:14" x14ac:dyDescent="0.25">
      <c r="M574" s="134"/>
      <c r="N574" s="134"/>
    </row>
    <row r="575" spans="13:14" x14ac:dyDescent="0.25">
      <c r="M575" s="134"/>
      <c r="N575" s="134"/>
    </row>
    <row r="576" spans="13:14" x14ac:dyDescent="0.25">
      <c r="M576" s="134"/>
      <c r="N576" s="134"/>
    </row>
    <row r="577" spans="13:14" x14ac:dyDescent="0.25">
      <c r="M577" s="134"/>
      <c r="N577" s="134"/>
    </row>
    <row r="578" spans="13:14" x14ac:dyDescent="0.25">
      <c r="M578" s="134"/>
      <c r="N578" s="134"/>
    </row>
    <row r="579" spans="13:14" x14ac:dyDescent="0.25">
      <c r="M579" s="134"/>
      <c r="N579" s="134"/>
    </row>
    <row r="580" spans="13:14" x14ac:dyDescent="0.25">
      <c r="M580" s="134"/>
      <c r="N580" s="134"/>
    </row>
    <row r="581" spans="13:14" x14ac:dyDescent="0.25">
      <c r="M581" s="134"/>
      <c r="N581" s="134"/>
    </row>
    <row r="582" spans="13:14" x14ac:dyDescent="0.25">
      <c r="M582" s="134"/>
      <c r="N582" s="134"/>
    </row>
    <row r="583" spans="13:14" x14ac:dyDescent="0.25">
      <c r="M583" s="134"/>
      <c r="N583" s="134"/>
    </row>
    <row r="584" spans="13:14" x14ac:dyDescent="0.25">
      <c r="M584" s="134"/>
      <c r="N584" s="134"/>
    </row>
    <row r="585" spans="13:14" x14ac:dyDescent="0.25">
      <c r="M585" s="134"/>
      <c r="N585" s="134"/>
    </row>
    <row r="586" spans="13:14" x14ac:dyDescent="0.25">
      <c r="M586" s="134"/>
      <c r="N586" s="134"/>
    </row>
    <row r="587" spans="13:14" x14ac:dyDescent="0.25">
      <c r="M587" s="134"/>
      <c r="N587" s="134"/>
    </row>
    <row r="588" spans="13:14" x14ac:dyDescent="0.25">
      <c r="M588" s="134"/>
      <c r="N588" s="134"/>
    </row>
    <row r="589" spans="13:14" x14ac:dyDescent="0.25">
      <c r="M589" s="134"/>
      <c r="N589" s="134"/>
    </row>
    <row r="590" spans="13:14" x14ac:dyDescent="0.25">
      <c r="M590" s="134"/>
      <c r="N590" s="134"/>
    </row>
    <row r="591" spans="13:14" x14ac:dyDescent="0.25">
      <c r="M591" s="134"/>
      <c r="N591" s="134"/>
    </row>
    <row r="592" spans="13:14" x14ac:dyDescent="0.25">
      <c r="M592" s="134"/>
      <c r="N592" s="134"/>
    </row>
    <row r="593" spans="13:14" x14ac:dyDescent="0.25">
      <c r="M593" s="134"/>
      <c r="N593" s="134"/>
    </row>
    <row r="594" spans="13:14" x14ac:dyDescent="0.25">
      <c r="M594" s="134"/>
      <c r="N594" s="134"/>
    </row>
    <row r="595" spans="13:14" x14ac:dyDescent="0.25">
      <c r="M595" s="134"/>
      <c r="N595" s="134"/>
    </row>
    <row r="596" spans="13:14" x14ac:dyDescent="0.25">
      <c r="M596" s="134"/>
      <c r="N596" s="134"/>
    </row>
    <row r="597" spans="13:14" x14ac:dyDescent="0.25">
      <c r="M597" s="134"/>
      <c r="N597" s="134"/>
    </row>
    <row r="598" spans="13:14" x14ac:dyDescent="0.25">
      <c r="M598" s="134"/>
      <c r="N598" s="134"/>
    </row>
    <row r="599" spans="13:14" x14ac:dyDescent="0.25">
      <c r="M599" s="134"/>
      <c r="N599" s="134"/>
    </row>
    <row r="600" spans="13:14" x14ac:dyDescent="0.25">
      <c r="M600" s="134"/>
      <c r="N600" s="134"/>
    </row>
    <row r="601" spans="13:14" x14ac:dyDescent="0.25">
      <c r="M601" s="134"/>
      <c r="N601" s="134"/>
    </row>
    <row r="602" spans="13:14" x14ac:dyDescent="0.25">
      <c r="M602" s="134"/>
      <c r="N602" s="134"/>
    </row>
    <row r="603" spans="13:14" x14ac:dyDescent="0.25">
      <c r="M603" s="134"/>
      <c r="N603" s="134"/>
    </row>
    <row r="604" spans="13:14" x14ac:dyDescent="0.25">
      <c r="M604" s="134"/>
      <c r="N604" s="134"/>
    </row>
    <row r="605" spans="13:14" x14ac:dyDescent="0.25">
      <c r="M605" s="134"/>
      <c r="N605" s="134"/>
    </row>
    <row r="606" spans="13:14" x14ac:dyDescent="0.25">
      <c r="M606" s="134"/>
      <c r="N606" s="134"/>
    </row>
    <row r="607" spans="13:14" x14ac:dyDescent="0.25">
      <c r="M607" s="134"/>
      <c r="N607" s="134"/>
    </row>
    <row r="608" spans="13:14" x14ac:dyDescent="0.25">
      <c r="M608" s="134"/>
      <c r="N608" s="134"/>
    </row>
    <row r="609" spans="13:14" x14ac:dyDescent="0.25">
      <c r="M609" s="134"/>
      <c r="N609" s="134"/>
    </row>
    <row r="610" spans="13:14" x14ac:dyDescent="0.25">
      <c r="M610" s="134"/>
      <c r="N610" s="134"/>
    </row>
    <row r="611" spans="13:14" x14ac:dyDescent="0.25">
      <c r="M611" s="134"/>
      <c r="N611" s="134"/>
    </row>
    <row r="612" spans="13:14" x14ac:dyDescent="0.25">
      <c r="M612" s="134"/>
      <c r="N612" s="134"/>
    </row>
    <row r="613" spans="13:14" x14ac:dyDescent="0.25">
      <c r="M613" s="134"/>
      <c r="N613" s="134"/>
    </row>
    <row r="614" spans="13:14" x14ac:dyDescent="0.25">
      <c r="M614" s="134"/>
      <c r="N614" s="134"/>
    </row>
    <row r="615" spans="13:14" x14ac:dyDescent="0.25">
      <c r="M615" s="134"/>
      <c r="N615" s="134"/>
    </row>
    <row r="616" spans="13:14" x14ac:dyDescent="0.25">
      <c r="M616" s="134"/>
      <c r="N616" s="134"/>
    </row>
    <row r="617" spans="13:14" x14ac:dyDescent="0.25">
      <c r="M617" s="134"/>
      <c r="N617" s="134"/>
    </row>
    <row r="618" spans="13:14" x14ac:dyDescent="0.25">
      <c r="M618" s="134"/>
      <c r="N618" s="134"/>
    </row>
    <row r="619" spans="13:14" x14ac:dyDescent="0.25">
      <c r="M619" s="134"/>
      <c r="N619" s="134"/>
    </row>
    <row r="620" spans="13:14" x14ac:dyDescent="0.25">
      <c r="M620" s="134"/>
      <c r="N620" s="134"/>
    </row>
    <row r="621" spans="13:14" x14ac:dyDescent="0.25">
      <c r="M621" s="134"/>
      <c r="N621" s="134"/>
    </row>
    <row r="622" spans="13:14" x14ac:dyDescent="0.25">
      <c r="M622" s="134"/>
      <c r="N622" s="134"/>
    </row>
    <row r="623" spans="13:14" x14ac:dyDescent="0.25">
      <c r="M623" s="134"/>
      <c r="N623" s="134"/>
    </row>
    <row r="624" spans="13:14" x14ac:dyDescent="0.25">
      <c r="M624" s="134"/>
      <c r="N624" s="134"/>
    </row>
    <row r="625" spans="13:14" x14ac:dyDescent="0.25">
      <c r="M625" s="134"/>
      <c r="N625" s="134"/>
    </row>
    <row r="626" spans="13:14" x14ac:dyDescent="0.25">
      <c r="M626" s="134"/>
      <c r="N626" s="134"/>
    </row>
    <row r="627" spans="13:14" x14ac:dyDescent="0.25">
      <c r="M627" s="134"/>
      <c r="N627" s="134"/>
    </row>
    <row r="628" spans="13:14" x14ac:dyDescent="0.25">
      <c r="M628" s="134"/>
      <c r="N628" s="134"/>
    </row>
    <row r="629" spans="13:14" x14ac:dyDescent="0.25">
      <c r="M629" s="134"/>
      <c r="N629" s="134"/>
    </row>
    <row r="630" spans="13:14" x14ac:dyDescent="0.25">
      <c r="M630" s="134"/>
      <c r="N630" s="134"/>
    </row>
    <row r="631" spans="13:14" x14ac:dyDescent="0.25">
      <c r="M631" s="134"/>
      <c r="N631" s="134"/>
    </row>
    <row r="632" spans="13:14" x14ac:dyDescent="0.25">
      <c r="M632" s="134"/>
      <c r="N632" s="134"/>
    </row>
    <row r="633" spans="13:14" x14ac:dyDescent="0.25">
      <c r="M633" s="134"/>
      <c r="N633" s="134"/>
    </row>
    <row r="634" spans="13:14" x14ac:dyDescent="0.25">
      <c r="M634" s="134"/>
      <c r="N634" s="134"/>
    </row>
    <row r="635" spans="13:14" x14ac:dyDescent="0.25">
      <c r="M635" s="134"/>
      <c r="N635" s="134"/>
    </row>
    <row r="636" spans="13:14" x14ac:dyDescent="0.25">
      <c r="M636" s="134"/>
      <c r="N636" s="134"/>
    </row>
    <row r="637" spans="13:14" x14ac:dyDescent="0.25">
      <c r="M637" s="134"/>
      <c r="N637" s="134"/>
    </row>
    <row r="638" spans="13:14" x14ac:dyDescent="0.25">
      <c r="M638" s="134"/>
      <c r="N638" s="134"/>
    </row>
    <row r="639" spans="13:14" x14ac:dyDescent="0.25">
      <c r="M639" s="134"/>
      <c r="N639" s="134"/>
    </row>
    <row r="640" spans="13:14" x14ac:dyDescent="0.25">
      <c r="M640" s="134"/>
      <c r="N640" s="134"/>
    </row>
    <row r="641" spans="13:14" x14ac:dyDescent="0.25">
      <c r="M641" s="134"/>
      <c r="N641" s="134"/>
    </row>
    <row r="642" spans="13:14" x14ac:dyDescent="0.25">
      <c r="M642" s="134"/>
      <c r="N642" s="134"/>
    </row>
    <row r="643" spans="13:14" x14ac:dyDescent="0.25">
      <c r="M643" s="134"/>
      <c r="N643" s="134"/>
    </row>
    <row r="644" spans="13:14" x14ac:dyDescent="0.25">
      <c r="M644" s="134"/>
      <c r="N644" s="134"/>
    </row>
    <row r="645" spans="13:14" x14ac:dyDescent="0.25">
      <c r="M645" s="134"/>
      <c r="N645" s="134"/>
    </row>
    <row r="646" spans="13:14" x14ac:dyDescent="0.25">
      <c r="M646" s="134"/>
      <c r="N646" s="134"/>
    </row>
    <row r="647" spans="13:14" x14ac:dyDescent="0.25">
      <c r="M647" s="134"/>
      <c r="N647" s="134"/>
    </row>
    <row r="648" spans="13:14" x14ac:dyDescent="0.25">
      <c r="M648" s="134"/>
      <c r="N648" s="134"/>
    </row>
    <row r="649" spans="13:14" x14ac:dyDescent="0.25">
      <c r="M649" s="134"/>
      <c r="N649" s="134"/>
    </row>
    <row r="650" spans="13:14" x14ac:dyDescent="0.25">
      <c r="M650" s="134"/>
      <c r="N650" s="134"/>
    </row>
    <row r="651" spans="13:14" x14ac:dyDescent="0.25">
      <c r="M651" s="134"/>
      <c r="N651" s="134"/>
    </row>
    <row r="652" spans="13:14" x14ac:dyDescent="0.25">
      <c r="M652" s="134"/>
      <c r="N652" s="134"/>
    </row>
    <row r="653" spans="13:14" x14ac:dyDescent="0.25">
      <c r="M653" s="134"/>
      <c r="N653" s="134"/>
    </row>
    <row r="654" spans="13:14" x14ac:dyDescent="0.25">
      <c r="M654" s="134"/>
      <c r="N654" s="134"/>
    </row>
    <row r="655" spans="13:14" x14ac:dyDescent="0.25">
      <c r="M655" s="134"/>
      <c r="N655" s="134"/>
    </row>
    <row r="656" spans="13:14" x14ac:dyDescent="0.25">
      <c r="M656" s="134"/>
      <c r="N656" s="134"/>
    </row>
    <row r="657" spans="13:14" x14ac:dyDescent="0.25">
      <c r="M657" s="134"/>
      <c r="N657" s="134"/>
    </row>
    <row r="658" spans="13:14" x14ac:dyDescent="0.25">
      <c r="M658" s="134"/>
      <c r="N658" s="134"/>
    </row>
    <row r="659" spans="13:14" x14ac:dyDescent="0.25">
      <c r="M659" s="134"/>
      <c r="N659" s="134"/>
    </row>
    <row r="660" spans="13:14" x14ac:dyDescent="0.25">
      <c r="M660" s="134"/>
      <c r="N660" s="134"/>
    </row>
    <row r="661" spans="13:14" x14ac:dyDescent="0.25">
      <c r="M661" s="134"/>
      <c r="N661" s="134"/>
    </row>
    <row r="662" spans="13:14" x14ac:dyDescent="0.25">
      <c r="M662" s="134"/>
      <c r="N662" s="134"/>
    </row>
    <row r="663" spans="13:14" x14ac:dyDescent="0.25">
      <c r="M663" s="134"/>
      <c r="N663" s="134"/>
    </row>
    <row r="664" spans="13:14" x14ac:dyDescent="0.25">
      <c r="M664" s="134"/>
      <c r="N664" s="134"/>
    </row>
    <row r="665" spans="13:14" x14ac:dyDescent="0.25">
      <c r="M665" s="134"/>
      <c r="N665" s="134"/>
    </row>
    <row r="666" spans="13:14" x14ac:dyDescent="0.25">
      <c r="M666" s="134"/>
      <c r="N666" s="134"/>
    </row>
    <row r="667" spans="13:14" x14ac:dyDescent="0.25">
      <c r="M667" s="134"/>
      <c r="N667" s="134"/>
    </row>
    <row r="668" spans="13:14" x14ac:dyDescent="0.25">
      <c r="M668" s="134"/>
      <c r="N668" s="134"/>
    </row>
    <row r="669" spans="13:14" x14ac:dyDescent="0.25">
      <c r="M669" s="134"/>
      <c r="N669" s="134"/>
    </row>
    <row r="670" spans="13:14" x14ac:dyDescent="0.25">
      <c r="M670" s="134"/>
      <c r="N670" s="134"/>
    </row>
    <row r="671" spans="13:14" x14ac:dyDescent="0.25">
      <c r="M671" s="134"/>
      <c r="N671" s="134"/>
    </row>
    <row r="672" spans="13:14" x14ac:dyDescent="0.25">
      <c r="M672" s="134"/>
      <c r="N672" s="134"/>
    </row>
    <row r="673" spans="13:14" x14ac:dyDescent="0.25">
      <c r="M673" s="134"/>
      <c r="N673" s="134"/>
    </row>
    <row r="674" spans="13:14" x14ac:dyDescent="0.25">
      <c r="M674" s="134"/>
      <c r="N674" s="134"/>
    </row>
    <row r="675" spans="13:14" x14ac:dyDescent="0.25">
      <c r="M675" s="134"/>
      <c r="N675" s="134"/>
    </row>
    <row r="676" spans="13:14" x14ac:dyDescent="0.25">
      <c r="M676" s="134"/>
      <c r="N676" s="134"/>
    </row>
    <row r="677" spans="13:14" x14ac:dyDescent="0.25">
      <c r="M677" s="134"/>
      <c r="N677" s="134"/>
    </row>
    <row r="678" spans="13:14" x14ac:dyDescent="0.25">
      <c r="M678" s="134"/>
      <c r="N678" s="134"/>
    </row>
    <row r="679" spans="13:14" x14ac:dyDescent="0.25">
      <c r="M679" s="134"/>
      <c r="N679" s="134"/>
    </row>
    <row r="680" spans="13:14" x14ac:dyDescent="0.25">
      <c r="M680" s="134"/>
      <c r="N680" s="134"/>
    </row>
    <row r="681" spans="13:14" x14ac:dyDescent="0.25">
      <c r="M681" s="134"/>
      <c r="N681" s="134"/>
    </row>
    <row r="682" spans="13:14" x14ac:dyDescent="0.25">
      <c r="M682" s="134"/>
      <c r="N682" s="134"/>
    </row>
    <row r="683" spans="13:14" x14ac:dyDescent="0.25">
      <c r="M683" s="134"/>
      <c r="N683" s="134"/>
    </row>
    <row r="684" spans="13:14" x14ac:dyDescent="0.25">
      <c r="M684" s="134"/>
      <c r="N684" s="134"/>
    </row>
    <row r="685" spans="13:14" x14ac:dyDescent="0.25">
      <c r="M685" s="134"/>
      <c r="N685" s="134"/>
    </row>
    <row r="686" spans="13:14" x14ac:dyDescent="0.25">
      <c r="M686" s="134"/>
      <c r="N686" s="134"/>
    </row>
    <row r="687" spans="13:14" x14ac:dyDescent="0.25">
      <c r="M687" s="134"/>
      <c r="N687" s="134"/>
    </row>
    <row r="688" spans="13:14" x14ac:dyDescent="0.25">
      <c r="M688" s="134"/>
      <c r="N688" s="134"/>
    </row>
    <row r="689" spans="13:14" x14ac:dyDescent="0.25">
      <c r="M689" s="134"/>
      <c r="N689" s="134"/>
    </row>
    <row r="690" spans="13:14" x14ac:dyDescent="0.25">
      <c r="M690" s="134"/>
      <c r="N690" s="134"/>
    </row>
    <row r="691" spans="13:14" x14ac:dyDescent="0.25">
      <c r="M691" s="134"/>
      <c r="N691" s="134"/>
    </row>
    <row r="692" spans="13:14" x14ac:dyDescent="0.25">
      <c r="M692" s="134"/>
      <c r="N692" s="134"/>
    </row>
    <row r="693" spans="13:14" x14ac:dyDescent="0.25">
      <c r="M693" s="134"/>
      <c r="N693" s="134"/>
    </row>
    <row r="694" spans="13:14" x14ac:dyDescent="0.25">
      <c r="M694" s="134"/>
      <c r="N694" s="134"/>
    </row>
    <row r="695" spans="13:14" x14ac:dyDescent="0.25">
      <c r="M695" s="134"/>
      <c r="N695" s="134"/>
    </row>
    <row r="696" spans="13:14" x14ac:dyDescent="0.25">
      <c r="M696" s="134"/>
      <c r="N696" s="134"/>
    </row>
    <row r="697" spans="13:14" x14ac:dyDescent="0.25">
      <c r="M697" s="134"/>
      <c r="N697" s="134"/>
    </row>
    <row r="698" spans="13:14" x14ac:dyDescent="0.25">
      <c r="M698" s="134"/>
      <c r="N698" s="134"/>
    </row>
    <row r="699" spans="13:14" x14ac:dyDescent="0.25">
      <c r="M699" s="134"/>
      <c r="N699" s="134"/>
    </row>
    <row r="700" spans="13:14" x14ac:dyDescent="0.25">
      <c r="M700" s="134"/>
      <c r="N700" s="134"/>
    </row>
    <row r="701" spans="13:14" x14ac:dyDescent="0.25">
      <c r="M701" s="134"/>
      <c r="N701" s="134"/>
    </row>
    <row r="702" spans="13:14" x14ac:dyDescent="0.25">
      <c r="M702" s="134"/>
      <c r="N702" s="134"/>
    </row>
    <row r="703" spans="13:14" x14ac:dyDescent="0.25">
      <c r="M703" s="134"/>
      <c r="N703" s="134"/>
    </row>
    <row r="704" spans="13:14" x14ac:dyDescent="0.25">
      <c r="M704" s="134"/>
      <c r="N704" s="134"/>
    </row>
    <row r="705" spans="13:14" x14ac:dyDescent="0.25">
      <c r="M705" s="134"/>
      <c r="N705" s="134"/>
    </row>
    <row r="706" spans="13:14" x14ac:dyDescent="0.25">
      <c r="M706" s="134"/>
      <c r="N706" s="134"/>
    </row>
    <row r="707" spans="13:14" x14ac:dyDescent="0.25">
      <c r="M707" s="134"/>
      <c r="N707" s="134"/>
    </row>
    <row r="708" spans="13:14" x14ac:dyDescent="0.25">
      <c r="M708" s="134"/>
      <c r="N708" s="134"/>
    </row>
    <row r="709" spans="13:14" x14ac:dyDescent="0.25">
      <c r="M709" s="134"/>
      <c r="N709" s="134"/>
    </row>
    <row r="710" spans="13:14" x14ac:dyDescent="0.25">
      <c r="M710" s="134"/>
      <c r="N710" s="134"/>
    </row>
    <row r="711" spans="13:14" x14ac:dyDescent="0.25">
      <c r="M711" s="134"/>
      <c r="N711" s="134"/>
    </row>
    <row r="712" spans="13:14" x14ac:dyDescent="0.25">
      <c r="M712" s="134"/>
      <c r="N712" s="134"/>
    </row>
    <row r="713" spans="13:14" x14ac:dyDescent="0.25">
      <c r="M713" s="134"/>
      <c r="N713" s="134"/>
    </row>
    <row r="714" spans="13:14" x14ac:dyDescent="0.25">
      <c r="M714" s="134"/>
      <c r="N714" s="134"/>
    </row>
    <row r="715" spans="13:14" x14ac:dyDescent="0.25">
      <c r="M715" s="134"/>
      <c r="N715" s="134"/>
    </row>
    <row r="716" spans="13:14" x14ac:dyDescent="0.25">
      <c r="M716" s="134"/>
      <c r="N716" s="134"/>
    </row>
    <row r="717" spans="13:14" x14ac:dyDescent="0.25">
      <c r="M717" s="134"/>
      <c r="N717" s="134"/>
    </row>
    <row r="718" spans="13:14" x14ac:dyDescent="0.25">
      <c r="M718" s="134"/>
      <c r="N718" s="134"/>
    </row>
    <row r="719" spans="13:14" x14ac:dyDescent="0.25">
      <c r="M719" s="134"/>
      <c r="N719" s="134"/>
    </row>
    <row r="720" spans="13:14" x14ac:dyDescent="0.25">
      <c r="M720" s="134"/>
      <c r="N720" s="134"/>
    </row>
    <row r="721" spans="13:14" x14ac:dyDescent="0.25">
      <c r="M721" s="134"/>
      <c r="N721" s="134"/>
    </row>
    <row r="722" spans="13:14" x14ac:dyDescent="0.25">
      <c r="M722" s="134"/>
      <c r="N722" s="134"/>
    </row>
    <row r="723" spans="13:14" x14ac:dyDescent="0.25">
      <c r="M723" s="134"/>
      <c r="N723" s="134"/>
    </row>
    <row r="724" spans="13:14" x14ac:dyDescent="0.25">
      <c r="M724" s="134"/>
      <c r="N724" s="134"/>
    </row>
    <row r="725" spans="13:14" x14ac:dyDescent="0.25">
      <c r="M725" s="134"/>
      <c r="N725" s="134"/>
    </row>
    <row r="726" spans="13:14" x14ac:dyDescent="0.25">
      <c r="M726" s="134"/>
      <c r="N726" s="134"/>
    </row>
    <row r="727" spans="13:14" x14ac:dyDescent="0.25">
      <c r="M727" s="134"/>
      <c r="N727" s="134"/>
    </row>
    <row r="728" spans="13:14" x14ac:dyDescent="0.25">
      <c r="M728" s="134"/>
      <c r="N728" s="134"/>
    </row>
    <row r="729" spans="13:14" x14ac:dyDescent="0.25">
      <c r="M729" s="134"/>
      <c r="N729" s="134"/>
    </row>
    <row r="730" spans="13:14" x14ac:dyDescent="0.25">
      <c r="M730" s="134"/>
      <c r="N730" s="134"/>
    </row>
    <row r="731" spans="13:14" x14ac:dyDescent="0.25">
      <c r="M731" s="134"/>
      <c r="N731" s="134"/>
    </row>
    <row r="732" spans="13:14" x14ac:dyDescent="0.25">
      <c r="M732" s="134"/>
      <c r="N732" s="134"/>
    </row>
    <row r="733" spans="13:14" x14ac:dyDescent="0.25">
      <c r="M733" s="134"/>
      <c r="N733" s="134"/>
    </row>
    <row r="734" spans="13:14" x14ac:dyDescent="0.25">
      <c r="M734" s="134"/>
      <c r="N734" s="134"/>
    </row>
    <row r="735" spans="13:14" x14ac:dyDescent="0.25">
      <c r="M735" s="134"/>
      <c r="N735" s="134"/>
    </row>
    <row r="736" spans="13:14" x14ac:dyDescent="0.25">
      <c r="M736" s="134"/>
      <c r="N736" s="134"/>
    </row>
    <row r="737" spans="13:14" x14ac:dyDescent="0.25">
      <c r="M737" s="134"/>
      <c r="N737" s="134"/>
    </row>
    <row r="738" spans="13:14" x14ac:dyDescent="0.25">
      <c r="M738" s="134"/>
      <c r="N738" s="134"/>
    </row>
    <row r="739" spans="13:14" x14ac:dyDescent="0.25">
      <c r="M739" s="134"/>
      <c r="N739" s="134"/>
    </row>
    <row r="740" spans="13:14" x14ac:dyDescent="0.25">
      <c r="M740" s="134"/>
      <c r="N740" s="134"/>
    </row>
    <row r="741" spans="13:14" x14ac:dyDescent="0.25">
      <c r="M741" s="134"/>
      <c r="N741" s="134"/>
    </row>
    <row r="742" spans="13:14" x14ac:dyDescent="0.25">
      <c r="M742" s="134"/>
      <c r="N742" s="134"/>
    </row>
    <row r="743" spans="13:14" x14ac:dyDescent="0.25">
      <c r="M743" s="134"/>
      <c r="N743" s="134"/>
    </row>
    <row r="744" spans="13:14" x14ac:dyDescent="0.25">
      <c r="M744" s="134"/>
      <c r="N744" s="134"/>
    </row>
    <row r="745" spans="13:14" x14ac:dyDescent="0.25">
      <c r="M745" s="134"/>
      <c r="N745" s="134"/>
    </row>
    <row r="746" spans="13:14" x14ac:dyDescent="0.25">
      <c r="M746" s="134"/>
      <c r="N746" s="134"/>
    </row>
    <row r="747" spans="13:14" x14ac:dyDescent="0.25">
      <c r="M747" s="134"/>
      <c r="N747" s="134"/>
    </row>
    <row r="748" spans="13:14" x14ac:dyDescent="0.25">
      <c r="M748" s="134"/>
      <c r="N748" s="134"/>
    </row>
    <row r="749" spans="13:14" x14ac:dyDescent="0.25">
      <c r="M749" s="134"/>
      <c r="N749" s="134"/>
    </row>
    <row r="750" spans="13:14" x14ac:dyDescent="0.25">
      <c r="M750" s="134"/>
      <c r="N750" s="134"/>
    </row>
    <row r="751" spans="13:14" x14ac:dyDescent="0.25">
      <c r="M751" s="134"/>
      <c r="N751" s="134"/>
    </row>
    <row r="752" spans="13:14" x14ac:dyDescent="0.25">
      <c r="M752" s="134"/>
      <c r="N752" s="134"/>
    </row>
    <row r="753" spans="13:14" x14ac:dyDescent="0.25">
      <c r="M753" s="134"/>
      <c r="N753" s="134"/>
    </row>
    <row r="754" spans="13:14" x14ac:dyDescent="0.25">
      <c r="M754" s="134"/>
      <c r="N754" s="134"/>
    </row>
    <row r="755" spans="13:14" x14ac:dyDescent="0.25">
      <c r="M755" s="134"/>
      <c r="N755" s="134"/>
    </row>
    <row r="756" spans="13:14" x14ac:dyDescent="0.25">
      <c r="M756" s="134"/>
      <c r="N756" s="134"/>
    </row>
    <row r="757" spans="13:14" x14ac:dyDescent="0.25">
      <c r="M757" s="134"/>
      <c r="N757" s="134"/>
    </row>
    <row r="758" spans="13:14" x14ac:dyDescent="0.25">
      <c r="M758" s="134"/>
      <c r="N758" s="134"/>
    </row>
    <row r="759" spans="13:14" x14ac:dyDescent="0.25">
      <c r="M759" s="134"/>
      <c r="N759" s="134"/>
    </row>
    <row r="760" spans="13:14" x14ac:dyDescent="0.25">
      <c r="M760" s="134"/>
      <c r="N760" s="134"/>
    </row>
    <row r="761" spans="13:14" x14ac:dyDescent="0.25">
      <c r="M761" s="134"/>
      <c r="N761" s="134"/>
    </row>
    <row r="762" spans="13:14" x14ac:dyDescent="0.25">
      <c r="M762" s="134"/>
      <c r="N762" s="134"/>
    </row>
    <row r="763" spans="13:14" x14ac:dyDescent="0.25">
      <c r="M763" s="134"/>
      <c r="N763" s="134"/>
    </row>
    <row r="764" spans="13:14" x14ac:dyDescent="0.25">
      <c r="M764" s="134"/>
      <c r="N764" s="134"/>
    </row>
    <row r="765" spans="13:14" x14ac:dyDescent="0.25">
      <c r="M765" s="134"/>
      <c r="N765" s="134"/>
    </row>
    <row r="766" spans="13:14" x14ac:dyDescent="0.25">
      <c r="M766" s="134"/>
      <c r="N766" s="134"/>
    </row>
    <row r="767" spans="13:14" x14ac:dyDescent="0.25">
      <c r="M767" s="134"/>
      <c r="N767" s="134"/>
    </row>
    <row r="768" spans="13:14" x14ac:dyDescent="0.25">
      <c r="M768" s="134"/>
      <c r="N768" s="134"/>
    </row>
    <row r="769" spans="13:14" x14ac:dyDescent="0.25">
      <c r="M769" s="134"/>
      <c r="N769" s="134"/>
    </row>
    <row r="770" spans="13:14" x14ac:dyDescent="0.25">
      <c r="M770" s="134"/>
      <c r="N770" s="134"/>
    </row>
    <row r="771" spans="13:14" x14ac:dyDescent="0.25">
      <c r="M771" s="134"/>
      <c r="N771" s="134"/>
    </row>
    <row r="772" spans="13:14" x14ac:dyDescent="0.25">
      <c r="M772" s="134"/>
      <c r="N772" s="134"/>
    </row>
    <row r="773" spans="13:14" x14ac:dyDescent="0.25">
      <c r="M773" s="134"/>
      <c r="N773" s="134"/>
    </row>
    <row r="774" spans="13:14" x14ac:dyDescent="0.25">
      <c r="M774" s="134"/>
      <c r="N774" s="134"/>
    </row>
    <row r="775" spans="13:14" x14ac:dyDescent="0.25">
      <c r="M775" s="134"/>
      <c r="N775" s="134"/>
    </row>
    <row r="776" spans="13:14" x14ac:dyDescent="0.25">
      <c r="M776" s="134"/>
      <c r="N776" s="134"/>
    </row>
    <row r="777" spans="13:14" x14ac:dyDescent="0.25">
      <c r="M777" s="134"/>
      <c r="N777" s="134"/>
    </row>
    <row r="778" spans="13:14" x14ac:dyDescent="0.25">
      <c r="M778" s="134"/>
      <c r="N778" s="134"/>
    </row>
    <row r="779" spans="13:14" x14ac:dyDescent="0.25">
      <c r="M779" s="134"/>
      <c r="N779" s="134"/>
    </row>
    <row r="780" spans="13:14" x14ac:dyDescent="0.25">
      <c r="M780" s="134"/>
      <c r="N780" s="134"/>
    </row>
    <row r="781" spans="13:14" x14ac:dyDescent="0.25">
      <c r="M781" s="134"/>
      <c r="N781" s="134"/>
    </row>
    <row r="782" spans="13:14" x14ac:dyDescent="0.25">
      <c r="M782" s="134"/>
      <c r="N782" s="134"/>
    </row>
    <row r="783" spans="13:14" x14ac:dyDescent="0.25">
      <c r="M783" s="134"/>
      <c r="N783" s="134"/>
    </row>
    <row r="784" spans="13:14" x14ac:dyDescent="0.25">
      <c r="M784" s="134"/>
      <c r="N784" s="134"/>
    </row>
    <row r="785" spans="13:14" x14ac:dyDescent="0.25">
      <c r="M785" s="134"/>
      <c r="N785" s="134"/>
    </row>
    <row r="786" spans="13:14" x14ac:dyDescent="0.25">
      <c r="M786" s="134"/>
      <c r="N786" s="134"/>
    </row>
    <row r="787" spans="13:14" x14ac:dyDescent="0.25">
      <c r="M787" s="134"/>
      <c r="N787" s="134"/>
    </row>
    <row r="788" spans="13:14" x14ac:dyDescent="0.25">
      <c r="M788" s="134"/>
      <c r="N788" s="134"/>
    </row>
    <row r="789" spans="13:14" x14ac:dyDescent="0.25">
      <c r="M789" s="134"/>
      <c r="N789" s="134"/>
    </row>
    <row r="790" spans="13:14" x14ac:dyDescent="0.25">
      <c r="M790" s="134"/>
      <c r="N790" s="134"/>
    </row>
    <row r="791" spans="13:14" x14ac:dyDescent="0.25">
      <c r="M791" s="134"/>
      <c r="N791" s="134"/>
    </row>
    <row r="792" spans="13:14" x14ac:dyDescent="0.25">
      <c r="M792" s="134"/>
      <c r="N792" s="134"/>
    </row>
    <row r="793" spans="13:14" x14ac:dyDescent="0.25">
      <c r="M793" s="134"/>
      <c r="N793" s="134"/>
    </row>
    <row r="794" spans="13:14" x14ac:dyDescent="0.25">
      <c r="M794" s="134"/>
      <c r="N794" s="134"/>
    </row>
    <row r="795" spans="13:14" x14ac:dyDescent="0.25">
      <c r="M795" s="134"/>
      <c r="N795" s="134"/>
    </row>
    <row r="796" spans="13:14" x14ac:dyDescent="0.25">
      <c r="M796" s="134"/>
      <c r="N796" s="134"/>
    </row>
    <row r="797" spans="13:14" x14ac:dyDescent="0.25">
      <c r="M797" s="134"/>
      <c r="N797" s="134"/>
    </row>
    <row r="798" spans="13:14" x14ac:dyDescent="0.25">
      <c r="M798" s="134"/>
      <c r="N798" s="134"/>
    </row>
    <row r="799" spans="13:14" x14ac:dyDescent="0.25">
      <c r="M799" s="134"/>
      <c r="N799" s="134"/>
    </row>
    <row r="800" spans="13:14" x14ac:dyDescent="0.25">
      <c r="M800" s="134"/>
      <c r="N800" s="134"/>
    </row>
    <row r="801" spans="13:14" x14ac:dyDescent="0.25">
      <c r="M801" s="134"/>
      <c r="N801" s="134"/>
    </row>
    <row r="802" spans="13:14" x14ac:dyDescent="0.25">
      <c r="M802" s="134"/>
      <c r="N802" s="134"/>
    </row>
    <row r="803" spans="13:14" x14ac:dyDescent="0.25">
      <c r="M803" s="134"/>
      <c r="N803" s="134"/>
    </row>
    <row r="804" spans="13:14" x14ac:dyDescent="0.25">
      <c r="M804" s="134"/>
      <c r="N804" s="134"/>
    </row>
    <row r="805" spans="13:14" x14ac:dyDescent="0.25">
      <c r="M805" s="134"/>
      <c r="N805" s="134"/>
    </row>
    <row r="806" spans="13:14" x14ac:dyDescent="0.25">
      <c r="M806" s="134"/>
      <c r="N806" s="134"/>
    </row>
    <row r="807" spans="13:14" x14ac:dyDescent="0.25">
      <c r="M807" s="134"/>
      <c r="N807" s="134"/>
    </row>
    <row r="808" spans="13:14" x14ac:dyDescent="0.25">
      <c r="M808" s="134"/>
      <c r="N808" s="134"/>
    </row>
    <row r="809" spans="13:14" x14ac:dyDescent="0.25">
      <c r="M809" s="134"/>
      <c r="N809" s="134"/>
    </row>
    <row r="810" spans="13:14" x14ac:dyDescent="0.25">
      <c r="M810" s="134"/>
      <c r="N810" s="134"/>
    </row>
    <row r="811" spans="13:14" x14ac:dyDescent="0.25">
      <c r="M811" s="134"/>
      <c r="N811" s="134"/>
    </row>
    <row r="812" spans="13:14" x14ac:dyDescent="0.25">
      <c r="M812" s="134"/>
      <c r="N812" s="134"/>
    </row>
    <row r="813" spans="13:14" x14ac:dyDescent="0.25">
      <c r="M813" s="134"/>
      <c r="N813" s="134"/>
    </row>
    <row r="814" spans="13:14" x14ac:dyDescent="0.25">
      <c r="M814" s="134"/>
      <c r="N814" s="134"/>
    </row>
    <row r="815" spans="13:14" x14ac:dyDescent="0.25">
      <c r="M815" s="134"/>
      <c r="N815" s="134"/>
    </row>
    <row r="816" spans="13:14" x14ac:dyDescent="0.25">
      <c r="M816" s="134"/>
      <c r="N816" s="134"/>
    </row>
    <row r="817" spans="13:14" x14ac:dyDescent="0.25">
      <c r="M817" s="134"/>
      <c r="N817" s="134"/>
    </row>
    <row r="818" spans="13:14" x14ac:dyDescent="0.25">
      <c r="M818" s="134"/>
      <c r="N818" s="134"/>
    </row>
    <row r="819" spans="13:14" x14ac:dyDescent="0.25">
      <c r="M819" s="134"/>
      <c r="N819" s="134"/>
    </row>
    <row r="820" spans="13:14" x14ac:dyDescent="0.25">
      <c r="M820" s="134"/>
      <c r="N820" s="134"/>
    </row>
    <row r="821" spans="13:14" x14ac:dyDescent="0.25">
      <c r="M821" s="134"/>
      <c r="N821" s="134"/>
    </row>
    <row r="822" spans="13:14" x14ac:dyDescent="0.25">
      <c r="M822" s="134"/>
      <c r="N822" s="134"/>
    </row>
    <row r="823" spans="13:14" x14ac:dyDescent="0.25">
      <c r="M823" s="134"/>
      <c r="N823" s="134"/>
    </row>
    <row r="824" spans="13:14" x14ac:dyDescent="0.25">
      <c r="M824" s="134"/>
      <c r="N824" s="134"/>
    </row>
    <row r="825" spans="13:14" x14ac:dyDescent="0.25">
      <c r="M825" s="134"/>
      <c r="N825" s="134"/>
    </row>
    <row r="826" spans="13:14" x14ac:dyDescent="0.25">
      <c r="M826" s="134"/>
      <c r="N826" s="134"/>
    </row>
    <row r="827" spans="13:14" x14ac:dyDescent="0.25">
      <c r="M827" s="134"/>
      <c r="N827" s="134"/>
    </row>
    <row r="828" spans="13:14" x14ac:dyDescent="0.25">
      <c r="M828" s="134"/>
      <c r="N828" s="134"/>
    </row>
    <row r="829" spans="13:14" x14ac:dyDescent="0.25">
      <c r="M829" s="134"/>
      <c r="N829" s="134"/>
    </row>
    <row r="830" spans="13:14" x14ac:dyDescent="0.25">
      <c r="M830" s="134"/>
      <c r="N830" s="134"/>
    </row>
    <row r="831" spans="13:14" x14ac:dyDescent="0.25">
      <c r="M831" s="134"/>
      <c r="N831" s="134"/>
    </row>
    <row r="832" spans="13:14" x14ac:dyDescent="0.25">
      <c r="M832" s="134"/>
      <c r="N832" s="134"/>
    </row>
    <row r="833" spans="13:14" x14ac:dyDescent="0.25">
      <c r="M833" s="134"/>
      <c r="N833" s="134"/>
    </row>
    <row r="834" spans="13:14" x14ac:dyDescent="0.25">
      <c r="M834" s="134"/>
      <c r="N834" s="134"/>
    </row>
    <row r="835" spans="13:14" x14ac:dyDescent="0.25">
      <c r="M835" s="134"/>
      <c r="N835" s="134"/>
    </row>
    <row r="836" spans="13:14" x14ac:dyDescent="0.25">
      <c r="M836" s="134"/>
      <c r="N836" s="134"/>
    </row>
    <row r="837" spans="13:14" x14ac:dyDescent="0.25">
      <c r="M837" s="134"/>
      <c r="N837" s="134"/>
    </row>
    <row r="838" spans="13:14" x14ac:dyDescent="0.25">
      <c r="M838" s="134"/>
      <c r="N838" s="134"/>
    </row>
    <row r="839" spans="13:14" x14ac:dyDescent="0.25">
      <c r="M839" s="134"/>
      <c r="N839" s="134"/>
    </row>
    <row r="840" spans="13:14" x14ac:dyDescent="0.25">
      <c r="M840" s="134"/>
      <c r="N840" s="134"/>
    </row>
    <row r="841" spans="13:14" x14ac:dyDescent="0.25">
      <c r="M841" s="134"/>
      <c r="N841" s="134"/>
    </row>
    <row r="842" spans="13:14" x14ac:dyDescent="0.25">
      <c r="M842" s="134"/>
      <c r="N842" s="134"/>
    </row>
    <row r="843" spans="13:14" x14ac:dyDescent="0.25">
      <c r="M843" s="134"/>
      <c r="N843" s="134"/>
    </row>
    <row r="844" spans="13:14" x14ac:dyDescent="0.25">
      <c r="M844" s="134"/>
      <c r="N844" s="134"/>
    </row>
    <row r="845" spans="13:14" x14ac:dyDescent="0.25">
      <c r="M845" s="134"/>
      <c r="N845" s="134"/>
    </row>
    <row r="846" spans="13:14" x14ac:dyDescent="0.25">
      <c r="M846" s="134"/>
      <c r="N846" s="134"/>
    </row>
    <row r="847" spans="13:14" x14ac:dyDescent="0.25">
      <c r="M847" s="134"/>
      <c r="N847" s="134"/>
    </row>
  </sheetData>
  <conditionalFormatting sqref="A2:C2 G2:J2 D2:F216 D3:J73 A3:B136 C3:C382 G74:J74 D75:J151 A137 A138:B151 A152:A175 G152:J175 V153:AD175 K153:U176 A176:B176 V176:AE176 D176:J182 A177:A182 K177:AE214 A183:B184 G183:I191 J183:J216 A185:A205 I192:I205 A206:B206 G206:I216 A207:A212 A213:B221 L215:AF281 K215:K283 D217:J217 G218 I218:J218 D218:F232 G219:J232 A222:A231 A232:B233 D233:J246 A234:A272 D247:F252 I247:J272 A273:B273 D273:J273 A274:A280 I274:J280 D281:J283 A281:B284 L282:P283 R282:AF283 Q282:Q284 D284:P284 R284:AD284 AE284:AF1048576 A285:A301 I285:J301 K285:K302 A302:B302 D302:J302 I303:J332 A303:A339 K308:K341 D333:D339 F333:J339 G340:J341 A340:B342 D340:F342 D342:K342 A343:A366 I343:J366 K343:K395 A367:B367 D367:J367 A368:A379 I368:J379 A380:B381 D380:J381 A382:J383 A384:A393 C384:F393 G384:J395 A394:F395 A396:AD396 A397:J398 K397:AD412 A398:A410 I399:J411 D411:E411 G411 A411:B414 D412:J412 D413:F414 I413:AD414 K415:K843 G415:I856 A415:F1048576 J415:J1048576 L415:AD1048576 G857:H1048576 K2:AD152 L285:AD395">
    <cfRule type="containsBlanks" dxfId="0" priority="12" operator="containsBlanks">
      <formula>LEN(TRIM(A2))=0</formula>
    </cfRule>
  </conditionalFormatting>
  <conditionalFormatting sqref="D111:F111">
    <cfRule type="cellIs" dxfId="1" priority="20" operator="equal">
      <formula>0</formula>
    </cfRule>
  </conditionalFormatting>
  <conditionalFormatting sqref="I46:J48 I49:I50">
    <cfRule type="cellIs" dxfId="2" priority="36" operator="equal">
      <formula>0</formula>
    </cfRule>
  </conditionalFormatting>
  <conditionalFormatting sqref="I111:J111">
    <cfRule type="cellIs" dxfId="3" priority="19" operator="equal">
      <formula>0</formula>
    </cfRule>
  </conditionalFormatting>
  <conditionalFormatting sqref="J63:J66">
    <cfRule type="cellIs" dxfId="4" priority="32" operator="equal">
      <formula>0</formula>
    </cfRule>
  </conditionalFormatting>
  <conditionalFormatting sqref="M102">
    <cfRule type="cellIs" dxfId="5" priority="22" operator="equal">
      <formula>0</formula>
    </cfRule>
  </conditionalFormatting>
  <conditionalFormatting sqref="V2:V414">
    <cfRule type="colorScale" priority="7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:W414">
    <cfRule type="cellIs" dxfId="6" priority="49" operator="equal">
      <formula>"Vendu (en attente)"</formula>
    </cfRule>
    <cfRule type="cellIs" dxfId="7" priority="50" operator="equal">
      <formula>"Acheté (en attente)"</formula>
    </cfRule>
    <cfRule type="cellIs" dxfId="8" priority="51" operator="equal">
      <formula>"Acheté (reçu)"</formula>
    </cfRule>
    <cfRule type="cellIs" dxfId="9" priority="52" operator="equal">
      <formula>"Listé"</formula>
    </cfRule>
    <cfRule type="cellIs" dxfId="10" priority="53" operator="equal">
      <formula>"Vendu (clôturé)"</formula>
    </cfRule>
  </conditionalFormatting>
  <conditionalFormatting sqref="X2:X414">
    <cfRule type="colorScale" priority="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6">
    <cfRule type="cellIs" dxfId="11" priority="56" operator="equal">
      <formula>0</formula>
    </cfRule>
  </conditionalFormatting>
  <conditionalFormatting sqref="Y2:Y414"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2:AB414">
    <cfRule type="colorScale" priority="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1:Z414 AB215:AB1048576 AA176:AA214">
    <cfRule type="colorScale" priority="7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2:Z414">
    <cfRule type="colorScale" priority="7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16:Z147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1:AA414 AC215:AC1048576 AB176:AB214">
    <cfRule type="colorScale" priority="7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2:AA414">
    <cfRule type="colorScale" priority="7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16:AA147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1:AB414 AD215:AD1048576 AC176:AC214">
    <cfRule type="colorScale" priority="7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B2:AB414">
    <cfRule type="colorScale" priority="7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1:AC414 AE215:AE1048576 AD176:AD214">
    <cfRule type="colorScale" priority="7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2:AC414">
    <cfRule type="colorScale" priority="7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D1">
    <cfRule type="cellIs" dxfId="12" priority="24" operator="equal">
      <formula>0</formula>
    </cfRule>
  </conditionalFormatting>
  <conditionalFormatting sqref="AD1:AD414 AF215:AF1048576 AE176:AE214">
    <cfRule type="colorScale" priority="7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D2:AD414">
    <cfRule type="colorScale" priority="7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1">
    <dataValidation type="list" allowBlank="1" showInputMessage="1" showErrorMessage="1" sqref="I10:I414">
      <formula1>"Vinted,ZenMarket,Ebay,LeBonCoin,Marrkt,VestiaireCo,Autre"</formula1>
    </dataValidation>
    <dataValidation type="list" allowBlank="1" showInputMessage="1" showErrorMessage="1" sqref="I2:I414">
      <formula1>"Vinted,ZenMarket,Ebay,LeBonCoin,Marrkt,VestiaireCo,Autre"</formula1>
    </dataValidation>
    <dataValidation type="list" allowBlank="1" showInputMessage="1" showErrorMessage="1" sqref="T10:T80">
      <formula1>"Vinted,ZenMarket,Ebay,LeBonCoin,Marrkt,VestiaireCo,Autre"</formula1>
    </dataValidation>
    <dataValidation type="list" allowBlank="1" showInputMessage="1" showErrorMessage="1" sqref="T100:T129">
      <formula1>"Vinted,ZenMarket,Ebay,LeBonCoin,Marrkt,VestiaireCo,Autre"</formula1>
    </dataValidation>
    <dataValidation type="list" allowBlank="1" showInputMessage="1" showErrorMessage="1" sqref="T133:T135">
      <formula1>"Vinted,ZenMarket,Ebay,LeBonCoin,Marrkt,VestiaireCo,Autre"</formula1>
    </dataValidation>
    <dataValidation type="list" allowBlank="1" showInputMessage="1" showErrorMessage="1" sqref="T142:T149">
      <formula1>"Vinted,ZenMarket,Ebay,LeBonCoin,Marrkt,VestiaireCo,Autre"</formula1>
    </dataValidation>
    <dataValidation type="list" allowBlank="1" showInputMessage="1" showErrorMessage="1" sqref="T196">
      <formula1>"Vinted,ZenMarket,Ebay,LeBonCoin,Marrkt,VestiaireCo,Autre"</formula1>
    </dataValidation>
    <dataValidation type="list" allowBlank="1" showInputMessage="1" showErrorMessage="1" sqref="T2:T80">
      <formula1>"Vinted,ZenMarket,Ebay,LeBonCoin,Marrkt,VestiaireCo,Autre"</formula1>
    </dataValidation>
    <dataValidation type="list" allowBlank="1" showInputMessage="1" showErrorMessage="1" sqref="T82:T129">
      <formula1>"Vinted,ZenMarket,Ebay,LeBonCoin,Marrkt,VestiaireCo,Autre"</formula1>
    </dataValidation>
    <dataValidation type="list" allowBlank="1" showInputMessage="1" showErrorMessage="1" sqref="W10:W414">
      <formula1>"Acheté (en attente),Acheté (reçu),Listé,Vendu (en attente),Vendu (clôturé)"</formula1>
    </dataValidation>
    <dataValidation type="list" allowBlank="1" showInputMessage="1" showErrorMessage="1" sqref="W2:W414">
      <formula1>"Acheté (en attente),Acheté (reçu),Listé,Vendu (en attente),Vendu (clôturé)"</formula1>
    </dataValidation>
  </dataValidations>
  <hyperlinks>
    <hyperlink ref="B3" r:id="rId1"/>
    <hyperlink ref="B4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22" r:id="rId12"/>
    <hyperlink ref="B23" r:id="rId13"/>
    <hyperlink ref="B24" r:id="rId14"/>
    <hyperlink ref="B32" r:id="rId15"/>
    <hyperlink ref="B33" r:id="rId16"/>
    <hyperlink ref="B34" r:id="rId17"/>
    <hyperlink ref="B35" r:id="rId18"/>
    <hyperlink ref="B36" r:id="rId19"/>
    <hyperlink ref="B37" r:id="rId20"/>
    <hyperlink ref="B38" r:id="rId21"/>
    <hyperlink ref="B39" r:id="rId22"/>
    <hyperlink ref="B40" r:id="rId23"/>
    <hyperlink ref="B41" r:id="rId24"/>
    <hyperlink ref="B42" r:id="rId25"/>
    <hyperlink ref="B43" r:id="rId26"/>
    <hyperlink ref="B44" r:id="rId27"/>
    <hyperlink ref="B45" r:id="rId28"/>
    <hyperlink ref="B46" r:id="rId29"/>
    <hyperlink ref="B47" r:id="rId30"/>
    <hyperlink ref="B48" r:id="rId31"/>
    <hyperlink ref="B49" r:id="rId32"/>
    <hyperlink ref="B50" r:id="rId33"/>
    <hyperlink ref="B51" r:id="rId34"/>
    <hyperlink ref="B52" r:id="rId35"/>
    <hyperlink ref="B53" r:id="rId36"/>
    <hyperlink ref="B54" r:id="rId37"/>
    <hyperlink ref="B55" r:id="rId38"/>
    <hyperlink ref="B56" r:id="rId39"/>
    <hyperlink ref="B57" r:id="rId40"/>
    <hyperlink ref="B58" r:id="rId41"/>
    <hyperlink ref="B59" r:id="rId42"/>
    <hyperlink ref="B60" r:id="rId43"/>
    <hyperlink ref="G60" r:id="rId44"/>
    <hyperlink ref="B61" r:id="rId45"/>
    <hyperlink ref="G61" r:id="rId46"/>
    <hyperlink ref="B62" r:id="rId47"/>
    <hyperlink ref="B63" r:id="rId48"/>
    <hyperlink ref="B64" r:id="rId49"/>
    <hyperlink ref="B65" r:id="rId50"/>
    <hyperlink ref="B66" r:id="rId51"/>
    <hyperlink ref="B67" r:id="rId52"/>
    <hyperlink ref="B68" r:id="rId53"/>
    <hyperlink ref="B69" r:id="rId54"/>
    <hyperlink ref="B70" r:id="rId55"/>
    <hyperlink ref="B71" r:id="rId56"/>
    <hyperlink ref="B72" r:id="rId57"/>
    <hyperlink ref="B73" r:id="rId58"/>
    <hyperlink ref="B74" r:id="rId59"/>
    <hyperlink ref="B75" r:id="rId60"/>
    <hyperlink ref="B76" r:id="rId61"/>
    <hyperlink ref="B77" r:id="rId62"/>
    <hyperlink ref="B78" r:id="rId63"/>
    <hyperlink ref="B79" r:id="rId64"/>
    <hyperlink ref="B80" r:id="rId65"/>
    <hyperlink ref="B81" r:id="rId66"/>
    <hyperlink ref="B82" r:id="rId67"/>
    <hyperlink ref="B83" r:id="rId68"/>
    <hyperlink ref="B84" r:id="rId69"/>
    <hyperlink ref="B85" r:id="rId70"/>
    <hyperlink ref="B86" r:id="rId71"/>
    <hyperlink ref="B87" r:id="rId72"/>
    <hyperlink ref="B88" r:id="rId73"/>
    <hyperlink ref="B89" r:id="rId74"/>
    <hyperlink ref="B90" r:id="rId75"/>
    <hyperlink ref="B91" r:id="rId76"/>
    <hyperlink ref="B92" r:id="rId77"/>
    <hyperlink ref="B93" r:id="rId78"/>
    <hyperlink ref="B94" r:id="rId79"/>
    <hyperlink ref="B95" r:id="rId80"/>
    <hyperlink ref="B96" r:id="rId81"/>
    <hyperlink ref="B97" r:id="rId82"/>
    <hyperlink ref="B98" r:id="rId83"/>
    <hyperlink ref="B99" r:id="rId84"/>
    <hyperlink ref="B100" r:id="rId85"/>
    <hyperlink ref="B101" r:id="rId86"/>
    <hyperlink ref="B102" r:id="rId87"/>
    <hyperlink ref="B103" r:id="rId88"/>
    <hyperlink ref="B104" r:id="rId89"/>
    <hyperlink ref="B105" r:id="rId90"/>
    <hyperlink ref="B106" r:id="rId91"/>
    <hyperlink ref="B107" r:id="rId92"/>
    <hyperlink ref="B108" r:id="rId93"/>
    <hyperlink ref="B109" r:id="rId94"/>
    <hyperlink ref="B110" r:id="rId95"/>
    <hyperlink ref="B111" r:id="rId96"/>
    <hyperlink ref="B112" r:id="rId97"/>
    <hyperlink ref="B113" r:id="rId98"/>
    <hyperlink ref="B114" r:id="rId99"/>
    <hyperlink ref="B115" r:id="rId100"/>
    <hyperlink ref="B116" r:id="rId101"/>
    <hyperlink ref="B117" r:id="rId102"/>
    <hyperlink ref="B118" r:id="rId103"/>
    <hyperlink ref="B119" r:id="rId104"/>
    <hyperlink ref="B120" r:id="rId105"/>
    <hyperlink ref="B121" r:id="rId106"/>
    <hyperlink ref="B122" r:id="rId107"/>
    <hyperlink ref="B123" r:id="rId108"/>
    <hyperlink ref="B124" r:id="rId109"/>
    <hyperlink ref="B125" r:id="rId110"/>
    <hyperlink ref="B126" r:id="rId111"/>
    <hyperlink ref="B127" r:id="rId112"/>
    <hyperlink ref="B128" r:id="rId113"/>
    <hyperlink ref="B129" r:id="rId114"/>
    <hyperlink ref="B131" r:id="rId115"/>
    <hyperlink ref="B132" r:id="rId116"/>
    <hyperlink ref="B133" r:id="rId117"/>
    <hyperlink ref="B134" r:id="rId118"/>
    <hyperlink ref="B135" r:id="rId119"/>
    <hyperlink ref="B136" r:id="rId120"/>
    <hyperlink ref="B137" r:id="rId121"/>
    <hyperlink ref="B138" r:id="rId122"/>
    <hyperlink ref="B139" r:id="rId123"/>
    <hyperlink ref="B140" r:id="rId124"/>
    <hyperlink ref="B141" r:id="rId125"/>
    <hyperlink ref="B142" r:id="rId126"/>
    <hyperlink ref="B143" r:id="rId127"/>
    <hyperlink ref="B144" r:id="rId128"/>
    <hyperlink ref="B145" r:id="rId129"/>
    <hyperlink ref="B146" r:id="rId130"/>
    <hyperlink ref="B147" r:id="rId131"/>
    <hyperlink ref="B148" r:id="rId132"/>
    <hyperlink ref="B149" r:id="rId133"/>
    <hyperlink ref="B150" r:id="rId134"/>
    <hyperlink ref="B151" r:id="rId135"/>
    <hyperlink ref="B152" r:id="rId136"/>
    <hyperlink ref="B153" r:id="rId137"/>
    <hyperlink ref="B154" r:id="rId138"/>
    <hyperlink ref="B155" r:id="rId139"/>
    <hyperlink ref="B156" r:id="rId140"/>
    <hyperlink ref="B157" r:id="rId141"/>
    <hyperlink ref="B158" r:id="rId142"/>
    <hyperlink ref="B159" r:id="rId143"/>
    <hyperlink ref="B160" r:id="rId144"/>
    <hyperlink ref="B161" r:id="rId145"/>
    <hyperlink ref="B162" r:id="rId146"/>
    <hyperlink ref="B163" r:id="rId147"/>
    <hyperlink ref="B164" r:id="rId148"/>
    <hyperlink ref="B165" r:id="rId149"/>
    <hyperlink ref="B166" r:id="rId150"/>
    <hyperlink ref="B167" r:id="rId151"/>
    <hyperlink ref="B168" r:id="rId152"/>
    <hyperlink ref="B169" r:id="rId153"/>
    <hyperlink ref="B170" r:id="rId154"/>
    <hyperlink ref="B171" r:id="rId155"/>
    <hyperlink ref="B172" r:id="rId156"/>
    <hyperlink ref="B173" r:id="rId157"/>
    <hyperlink ref="B174" r:id="rId158"/>
    <hyperlink ref="B175" r:id="rId159"/>
    <hyperlink ref="B176" r:id="rId160"/>
    <hyperlink ref="B177" r:id="rId161"/>
    <hyperlink ref="B178" r:id="rId162"/>
    <hyperlink ref="B179" r:id="rId163"/>
    <hyperlink ref="B180" r:id="rId164"/>
    <hyperlink ref="B181" r:id="rId165"/>
    <hyperlink ref="B182" r:id="rId166"/>
    <hyperlink ref="B183" r:id="rId167"/>
    <hyperlink ref="B184" r:id="rId168"/>
    <hyperlink ref="B185" r:id="rId169"/>
    <hyperlink ref="B186" r:id="rId170"/>
    <hyperlink ref="B187" r:id="rId171"/>
    <hyperlink ref="B188" r:id="rId172"/>
    <hyperlink ref="B189" r:id="rId173"/>
    <hyperlink ref="B190" r:id="rId174"/>
    <hyperlink ref="B191" r:id="rId175"/>
    <hyperlink ref="B192" r:id="rId176"/>
    <hyperlink ref="B193" r:id="rId177"/>
    <hyperlink ref="B194" r:id="rId178"/>
    <hyperlink ref="B195" r:id="rId179"/>
    <hyperlink ref="B196" r:id="rId180"/>
    <hyperlink ref="B197" r:id="rId181"/>
    <hyperlink ref="B198" r:id="rId182"/>
    <hyperlink ref="B199" r:id="rId183"/>
    <hyperlink ref="B200" r:id="rId184"/>
    <hyperlink ref="B201" r:id="rId185"/>
    <hyperlink ref="B202" r:id="rId186"/>
    <hyperlink ref="B203" r:id="rId187"/>
    <hyperlink ref="B204" r:id="rId188"/>
    <hyperlink ref="B205" r:id="rId189"/>
    <hyperlink ref="B206" r:id="rId190"/>
    <hyperlink ref="B207" r:id="rId191"/>
    <hyperlink ref="B208" r:id="rId192"/>
    <hyperlink ref="B209" r:id="rId193"/>
    <hyperlink ref="B210" r:id="rId194"/>
    <hyperlink ref="B211" r:id="rId195"/>
    <hyperlink ref="B212" r:id="rId196"/>
    <hyperlink ref="B213" r:id="rId197"/>
    <hyperlink ref="B214" r:id="rId198"/>
    <hyperlink ref="B215" r:id="rId199"/>
    <hyperlink ref="A216" r:id="rId200"/>
    <hyperlink ref="B216" r:id="rId201"/>
    <hyperlink ref="B217" r:id="rId202"/>
    <hyperlink ref="B218" r:id="rId203"/>
    <hyperlink ref="B219" r:id="rId204"/>
    <hyperlink ref="B220" r:id="rId205"/>
    <hyperlink ref="B221" r:id="rId206"/>
    <hyperlink ref="B222" r:id="rId207"/>
    <hyperlink ref="B224" r:id="rId208"/>
    <hyperlink ref="B225" r:id="rId209"/>
    <hyperlink ref="B226" r:id="rId210"/>
    <hyperlink ref="B227" r:id="rId211"/>
    <hyperlink ref="B228" r:id="rId212"/>
    <hyperlink ref="B229" r:id="rId213"/>
    <hyperlink ref="B230" r:id="rId214"/>
    <hyperlink ref="B231" r:id="rId215"/>
    <hyperlink ref="B232" r:id="rId216"/>
    <hyperlink ref="B233" r:id="rId217"/>
    <hyperlink ref="B234" r:id="rId218"/>
    <hyperlink ref="B235" r:id="rId219"/>
    <hyperlink ref="B236" r:id="rId220"/>
    <hyperlink ref="B237" r:id="rId221"/>
    <hyperlink ref="B238" r:id="rId222"/>
    <hyperlink ref="B239" r:id="rId223"/>
    <hyperlink ref="B240" r:id="rId224"/>
    <hyperlink ref="B253" r:id="rId225"/>
    <hyperlink ref="B254" r:id="rId226"/>
    <hyperlink ref="B255" r:id="rId227"/>
    <hyperlink ref="B256" r:id="rId228"/>
    <hyperlink ref="B257" r:id="rId229"/>
    <hyperlink ref="B258" r:id="rId230"/>
    <hyperlink ref="B259" r:id="rId231"/>
    <hyperlink ref="B260" r:id="rId232"/>
    <hyperlink ref="B261" r:id="rId233"/>
    <hyperlink ref="B262" r:id="rId234"/>
    <hyperlink ref="B263" r:id="rId235"/>
    <hyperlink ref="B264" r:id="rId236"/>
    <hyperlink ref="B265" r:id="rId237"/>
    <hyperlink ref="B266" r:id="rId238"/>
    <hyperlink ref="B267" r:id="rId239"/>
    <hyperlink ref="B268" r:id="rId240"/>
    <hyperlink ref="B269" r:id="rId241"/>
    <hyperlink ref="B270" r:id="rId242"/>
    <hyperlink ref="B271" r:id="rId243"/>
    <hyperlink ref="B272" r:id="rId244"/>
    <hyperlink ref="B273" r:id="rId245"/>
    <hyperlink ref="B274" r:id="rId246"/>
    <hyperlink ref="B275" r:id="rId247"/>
    <hyperlink ref="B276" r:id="rId248"/>
    <hyperlink ref="B277" r:id="rId249"/>
    <hyperlink ref="B278" r:id="rId250"/>
    <hyperlink ref="B279" r:id="rId251"/>
    <hyperlink ref="B280" r:id="rId252"/>
    <hyperlink ref="B281" r:id="rId253"/>
    <hyperlink ref="B282" r:id="rId254"/>
    <hyperlink ref="B283" r:id="rId255"/>
    <hyperlink ref="B284" r:id="rId256"/>
    <hyperlink ref="B285" r:id="rId257"/>
    <hyperlink ref="B286" r:id="rId258"/>
    <hyperlink ref="B287" r:id="rId259"/>
    <hyperlink ref="B288" r:id="rId260"/>
    <hyperlink ref="B289" r:id="rId261"/>
    <hyperlink ref="B290" r:id="rId262"/>
    <hyperlink ref="B291" r:id="rId263"/>
    <hyperlink ref="B292" r:id="rId264"/>
    <hyperlink ref="B293" r:id="rId265"/>
    <hyperlink ref="B294" r:id="rId266"/>
    <hyperlink ref="B295" r:id="rId267"/>
    <hyperlink ref="B296" r:id="rId268"/>
    <hyperlink ref="B297" r:id="rId269"/>
    <hyperlink ref="B298" r:id="rId270"/>
    <hyperlink ref="B299" r:id="rId271"/>
    <hyperlink ref="B300" r:id="rId272"/>
    <hyperlink ref="B301" r:id="rId273"/>
    <hyperlink ref="B302" r:id="rId274"/>
    <hyperlink ref="B303" r:id="rId275"/>
    <hyperlink ref="B304" r:id="rId276"/>
    <hyperlink ref="B305" r:id="rId277"/>
    <hyperlink ref="B306" r:id="rId278"/>
    <hyperlink ref="B307" r:id="rId279"/>
    <hyperlink ref="B308" r:id="rId280"/>
    <hyperlink ref="B309" r:id="rId281"/>
    <hyperlink ref="B310" r:id="rId282"/>
    <hyperlink ref="B311" r:id="rId283"/>
    <hyperlink ref="B313" r:id="rId284"/>
    <hyperlink ref="B314" r:id="rId285"/>
    <hyperlink ref="B315" r:id="rId286"/>
    <hyperlink ref="B316" r:id="rId287"/>
    <hyperlink ref="B317" r:id="rId288"/>
    <hyperlink ref="B318" r:id="rId289"/>
    <hyperlink ref="B319" r:id="rId290"/>
    <hyperlink ref="B320" r:id="rId291"/>
    <hyperlink ref="B321" r:id="rId292"/>
    <hyperlink ref="B322" r:id="rId293"/>
    <hyperlink ref="B329" r:id="rId294"/>
    <hyperlink ref="B330" r:id="rId295"/>
    <hyperlink ref="B331" r:id="rId296"/>
    <hyperlink ref="B332" r:id="rId297"/>
    <hyperlink ref="B333" r:id="rId298"/>
    <hyperlink ref="B334" r:id="rId299"/>
    <hyperlink ref="B335" r:id="rId300"/>
    <hyperlink ref="B336" r:id="rId301"/>
    <hyperlink ref="B337" r:id="rId302"/>
    <hyperlink ref="B338" r:id="rId303"/>
    <hyperlink ref="B339" r:id="rId304"/>
    <hyperlink ref="B340" r:id="rId305"/>
    <hyperlink ref="B341" r:id="rId306"/>
    <hyperlink ref="B342" r:id="rId307"/>
    <hyperlink ref="B343" r:id="rId308"/>
    <hyperlink ref="B344" r:id="rId309"/>
    <hyperlink ref="B345" r:id="rId310"/>
    <hyperlink ref="B346" r:id="rId311"/>
    <hyperlink ref="B348" r:id="rId312"/>
    <hyperlink ref="B349" r:id="rId313"/>
    <hyperlink ref="B350" r:id="rId314"/>
    <hyperlink ref="B351" r:id="rId315"/>
    <hyperlink ref="B354" r:id="rId316"/>
    <hyperlink ref="B357" r:id="rId317"/>
    <hyperlink ref="B358" r:id="rId318"/>
    <hyperlink ref="B359" r:id="rId319"/>
    <hyperlink ref="B360" r:id="rId320"/>
    <hyperlink ref="B361" r:id="rId321"/>
    <hyperlink ref="B362" r:id="rId322"/>
    <hyperlink ref="B363" r:id="rId323"/>
    <hyperlink ref="B364" r:id="rId324"/>
    <hyperlink ref="B365" r:id="rId325"/>
    <hyperlink ref="B366" r:id="rId326"/>
    <hyperlink ref="B367" r:id="rId327"/>
    <hyperlink ref="B368" r:id="rId328"/>
    <hyperlink ref="B369" r:id="rId329"/>
    <hyperlink ref="B370" r:id="rId330"/>
    <hyperlink ref="B371" r:id="rId331"/>
    <hyperlink ref="B372" r:id="rId332"/>
    <hyperlink ref="B373" r:id="rId333"/>
    <hyperlink ref="B374" r:id="rId334"/>
    <hyperlink ref="B375" r:id="rId335"/>
    <hyperlink ref="B376" r:id="rId336"/>
    <hyperlink ref="B377" r:id="rId337"/>
    <hyperlink ref="B378" r:id="rId338"/>
    <hyperlink ref="B379" r:id="rId339"/>
    <hyperlink ref="B380" r:id="rId340"/>
    <hyperlink ref="B381" r:id="rId341"/>
    <hyperlink ref="B382" r:id="rId342"/>
    <hyperlink ref="B383" r:id="rId343"/>
    <hyperlink ref="B384" r:id="rId344"/>
    <hyperlink ref="B385" r:id="rId345"/>
    <hyperlink ref="B386" r:id="rId346"/>
    <hyperlink ref="B387" r:id="rId347"/>
    <hyperlink ref="B388" r:id="rId348"/>
    <hyperlink ref="B389" r:id="rId349"/>
    <hyperlink ref="B390" r:id="rId350"/>
    <hyperlink ref="B391" r:id="rId351"/>
    <hyperlink ref="B392" r:id="rId352"/>
    <hyperlink ref="B393" r:id="rId353"/>
    <hyperlink ref="B394" r:id="rId354"/>
    <hyperlink ref="B395" r:id="rId355"/>
    <hyperlink ref="B396" r:id="rId356"/>
    <hyperlink ref="B397" r:id="rId357"/>
    <hyperlink ref="B398" r:id="rId358"/>
    <hyperlink ref="B399" r:id="rId359"/>
    <hyperlink ref="B400" r:id="rId360"/>
    <hyperlink ref="B401" r:id="rId361"/>
    <hyperlink ref="B402" r:id="rId362"/>
    <hyperlink ref="B403" r:id="rId363"/>
    <hyperlink ref="B404" r:id="rId364"/>
    <hyperlink ref="B405" r:id="rId365"/>
    <hyperlink ref="B406" r:id="rId366"/>
    <hyperlink ref="B407" r:id="rId367"/>
    <hyperlink ref="B408" r:id="rId368"/>
    <hyperlink ref="B409" r:id="rId369"/>
    <hyperlink ref="B410" r:id="rId370"/>
    <hyperlink ref="B411" r:id="rId371"/>
    <hyperlink ref="B412" r:id="rId372"/>
    <hyperlink ref="B413" r:id="rId373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tableParts count="1">
    <tablePart r:id="rId374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R41"/>
  <sheetViews>
    <sheetView workbookViewId="0" zoomScale="100" zoomScaleNormal="100">
      <pane xSplit="2" ySplit="2" topLeftCell="C3" activePane="bottomRight" state="frozen"/>
      <selection pane="bottomRight" activeCell="R14" sqref="R14"/>
    </sheetView>
  </sheetViews>
  <sheetFormatPr defaultRowHeight="14.4" outlineLevelRow="0" outlineLevelCol="0" x14ac:dyDescent="0.3" customHeight="1"/>
  <cols>
    <col min="1" max="1" width="10.109375" customWidth="1"/>
    <col min="2" max="2" width="27.33203125" style="1" customWidth="1"/>
    <col min="3" max="4" width="13.33203125" customWidth="1"/>
    <col min="5" max="5" width="13.33203125" style="2" customWidth="1"/>
    <col min="6" max="6" width="13.33203125" customWidth="1"/>
    <col min="7" max="18" width="12.109375" customWidth="1"/>
  </cols>
  <sheetData>
    <row r="1" ht="15.6" customHeight="1" spans="1:18" x14ac:dyDescent="0.25">
      <c r="A1" s="3"/>
      <c r="B1" s="4"/>
      <c r="C1" s="5" t="str">
        <f>TEXT(TODAY(),"mmm-yy")</f>
        <v>Oct-26</v>
      </c>
      <c r="D1" s="5" t="str">
        <f>TEXT(EDATE(TODAY(),-1),"mmm-yy")</f>
        <v>Sep-26</v>
      </c>
      <c r="E1" s="6">
        <f>YEAR(TODAY())</f>
        <v>2026</v>
      </c>
      <c r="F1" s="6">
        <f>YEAR(TODAY())-1</f>
        <v>2025</v>
      </c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ht="31.8" customHeight="1" spans="1:18" s="1" customFormat="1" x14ac:dyDescent="0.25">
      <c r="A2" s="9" t="s">
        <v>0</v>
      </c>
      <c r="B2" s="9" t="s">
        <v>1</v>
      </c>
      <c r="C2" s="10" t="s">
        <v>2</v>
      </c>
      <c r="D2" s="10" t="s">
        <v>3</v>
      </c>
      <c r="E2" s="11" t="s">
        <v>4</v>
      </c>
      <c r="F2" s="12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</row>
    <row r="3" ht="15.6" customHeight="1" spans="1:18" s="2" customFormat="1" x14ac:dyDescent="0.25">
      <c r="A3" s="14" t="s">
        <v>18</v>
      </c>
      <c r="B3" s="15" t="s">
        <v>19</v>
      </c>
      <c r="C3" s="16">
        <f>SUMIFS(Table1368[Prix de revente],Table1368[Date revente],"&gt;="&amp;EOMONTH(TODAY(),-1)+1,Table1368[Date revente],"&lt;"&amp;EOMONTH(TODAY(),0)+1)</f>
        <v>1362</v>
      </c>
      <c r="D3" s="16">
        <f>SUMIFS(Table1368[Prix de revente],Table1368[Date revente],"&gt;="&amp;EOMONTH(TODAY(),-2)+1,Table1368[Date revente],"&lt;"&amp;EOMONTH(TODAY(),-1)+1)</f>
        <v>3523.9999999999995</v>
      </c>
      <c r="E3" s="17">
        <f>SUMIFS(Table1368[Prix de revente],Table1368[Date revente],"&gt;="&amp;DATE(YEAR(TODAY()),1,1),Table1368[Date revente],"&lt;"&amp;DATE(YEAR(TODAY())+1,1,1))</f>
        <v>19298.38</v>
      </c>
      <c r="F3" s="18">
        <f>SUMIFS(Table1368[Prix de revente],Table1368[Date revente],"&gt;="&amp;DATE(YEAR(TODAY())-1,1,1),Table1368[Date revente],"&lt;"&amp;DATE(YEAR(TODAY()),1,1))</f>
        <v>3249.2999999999997</v>
      </c>
      <c r="G3" s="19">
        <f>IF(SUMIFS(Table1368[[Prix de revente]:[Prix de revente]],Table1368[[Date revente]:[Date revente]],"&gt;="&amp;G$2,Table1368[[Date revente]:[Date revente]],"&lt;"&amp;EDATE(G$2,1))=0,"-",SUMIFS(Table1368[[Prix de revente]:[Prix de revente]],Table1368[[Date revente]:[Date revente]],"&gt;="&amp;G$2,Table1368[[Date revente]:[Date revente]],"&lt;"&amp;EDATE(G$2,1)))</f>
        <v>1378.5</v>
      </c>
      <c r="H3" s="16">
        <f>IF(SUMIFS(Table1368[[Prix de revente]:[Prix de revente]],Table1368[[Date revente]:[Date revente]],"&gt;="&amp;H$2,Table1368[[Date revente]:[Date revente]],"&lt;"&amp;EDATE(H$2,1))=0,"-",SUMIFS(Table1368[[Prix de revente]:[Prix de revente]],Table1368[[Date revente]:[Date revente]],"&gt;="&amp;H$2,Table1368[[Date revente]:[Date revente]],"&lt;"&amp;EDATE(H$2,1)))</f>
        <v>1448.6</v>
      </c>
      <c r="I3" s="16">
        <f>IF(SUMIFS(Table1368[[Prix de revente]:[Prix de revente]],Table1368[[Date revente]:[Date revente]],"&gt;="&amp;I$2,Table1368[[Date revente]:[Date revente]],"&lt;"&amp;EDATE(I$2,1))=0,"-",SUMIFS(Table1368[[Prix de revente]:[Prix de revente]],Table1368[[Date revente]:[Date revente]],"&gt;="&amp;I$2,Table1368[[Date revente]:[Date revente]],"&lt;"&amp;EDATE(I$2,1)))</f>
        <v>1728.6</v>
      </c>
      <c r="J3" s="16">
        <f>IF(SUMIFS(Table1368[[Prix de revente]:[Prix de revente]],Table1368[[Date revente]:[Date revente]],"&gt;="&amp;J$2,Table1368[[Date revente]:[Date revente]],"&lt;"&amp;EDATE(J$2,1))=0,"-",SUMIFS(Table1368[[Prix de revente]:[Prix de revente]],Table1368[[Date revente]:[Date revente]],"&gt;="&amp;J$2,Table1368[[Date revente]:[Date revente]],"&lt;"&amp;EDATE(J$2,1)))</f>
        <v>2089.8999999999996</v>
      </c>
      <c r="K3" s="16">
        <f>IF(SUMIFS(Table1368[[Prix de revente]:[Prix de revente]],Table1368[[Date revente]:[Date revente]],"&gt;="&amp;K$2,Table1368[[Date revente]:[Date revente]],"&lt;"&amp;EDATE(K$2,1))=0,"-",SUMIFS(Table1368[[Prix de revente]:[Prix de revente]],Table1368[[Date revente]:[Date revente]],"&gt;="&amp;K$2,Table1368[[Date revente]:[Date revente]],"&lt;"&amp;EDATE(K$2,1)))</f>
        <v>2418.1</v>
      </c>
      <c r="L3" s="16">
        <f>IF(SUMIFS(Table1368[[Prix de revente]:[Prix de revente]],Table1368[[Date revente]:[Date revente]],"&gt;="&amp;L$2,Table1368[[Date revente]:[Date revente]],"&lt;"&amp;EDATE(L$2,1))=0,"-",SUMIFS(Table1368[[Prix de revente]:[Prix de revente]],Table1368[[Date revente]:[Date revente]],"&gt;="&amp;L$2,Table1368[[Date revente]:[Date revente]],"&lt;"&amp;EDATE(L$2,1)))</f>
        <v>2631.88</v>
      </c>
      <c r="M3" s="16">
        <f>IF(SUMIFS(Table1368[[Prix de revente]:[Prix de revente]],Table1368[[Date revente]:[Date revente]],"&gt;="&amp;M$2,Table1368[[Date revente]:[Date revente]],"&lt;"&amp;EDATE(M$2,1))=0,"-",SUMIFS(Table1368[[Prix de revente]:[Prix de revente]],Table1368[[Date revente]:[Date revente]],"&gt;="&amp;M$2,Table1368[[Date revente]:[Date revente]],"&lt;"&amp;EDATE(M$2,1)))</f>
        <v>1745.6999999999998</v>
      </c>
      <c r="N3" s="16">
        <f>IF(SUMIFS(Table1368[[Prix de revente]:[Prix de revente]],Table1368[[Date revente]:[Date revente]],"&gt;="&amp;N$2,Table1368[[Date revente]:[Date revente]],"&lt;"&amp;EDATE(N$2,1))=0,"-",SUMIFS(Table1368[[Prix de revente]:[Prix de revente]],Table1368[[Date revente]:[Date revente]],"&gt;="&amp;N$2,Table1368[[Date revente]:[Date revente]],"&lt;"&amp;EDATE(N$2,1)))</f>
        <v>971.0999999999999</v>
      </c>
      <c r="O3" s="16">
        <f>IF(SUMIFS(Table1368[[Prix de revente]:[Prix de revente]],Table1368[[Date revente]:[Date revente]],"&gt;="&amp;O$2,Table1368[[Date revente]:[Date revente]],"&lt;"&amp;EDATE(O$2,1))=0,"-",SUMIFS(Table1368[[Prix de revente]:[Prix de revente]],Table1368[[Date revente]:[Date revente]],"&gt;="&amp;O$2,Table1368[[Date revente]:[Date revente]],"&lt;"&amp;EDATE(O$2,1)))</f>
        <v>3523.9999999999995</v>
      </c>
      <c r="P3" s="16">
        <f>IF(SUMIFS(Table1368[[Prix de revente]:[Prix de revente]],Table1368[[Date revente]:[Date revente]],"&gt;="&amp;P$2,Table1368[[Date revente]:[Date revente]],"&lt;"&amp;EDATE(P$2,1))=0,"-",SUMIFS(Table1368[[Prix de revente]:[Prix de revente]],Table1368[[Date revente]:[Date revente]],"&gt;="&amp;P$2,Table1368[[Date revente]:[Date revente]],"&lt;"&amp;EDATE(P$2,1)))</f>
        <v>1362</v>
      </c>
      <c r="Q3" s="16" t="str">
        <f>IF(SUMIFS(Table1368[[Prix de revente]:[Prix de revente]],Table1368[[Date revente]:[Date revente]],"&gt;="&amp;Q$2,Table1368[[Date revente]:[Date revente]],"&lt;"&amp;EDATE(Q$2,1))=0,"-",SUMIFS(Table1368[[Prix de revente]:[Prix de revente]],Table1368[[Date revente]:[Date revente]],"&gt;="&amp;Q$2,Table1368[[Date revente]:[Date revente]],"&lt;"&amp;EDATE(Q$2,1)))</f>
        <v>-</v>
      </c>
      <c r="R3" s="18" t="str">
        <f>IF(SUMIFS(Table1368[[Prix de revente]:[Prix de revente]],Table1368[[Date revente]:[Date revente]],"&gt;="&amp;R$2,Table1368[[Date revente]:[Date revente]],"&lt;"&amp;EDATE(R$2,1))=0,"-",SUMIFS(Table1368[[Prix de revente]:[Prix de revente]],Table1368[[Date revente]:[Date revente]],"&gt;="&amp;R$2,Table1368[[Date revente]:[Date revente]],"&lt;"&amp;EDATE(R$2,1)))</f>
        <v>-</v>
      </c>
    </row>
    <row r="4" ht="15.6" customHeight="1" spans="1:18" s="2" customFormat="1" x14ac:dyDescent="0.25">
      <c r="A4" s="20" t="s">
        <v>18</v>
      </c>
      <c r="B4" s="21" t="s">
        <v>20</v>
      </c>
      <c r="C4" s="22">
        <f>SUMIFS(Table1368[Bénéfice],Table1368[Date revente],"&gt;="&amp;EOMONTH(TODAY(),-1)+1,Table1368[Date revente],"&lt;"&amp;EOMONTH(TODAY(),0)+1)</f>
        <v>858.9435512565827</v>
      </c>
      <c r="D4" s="22">
        <f>SUMIFS(Table1368[Bénéfice],Table1368[Date revente],"&gt;="&amp;EOMONTH(TODAY(),-2)+1,Table1368[Date revente],"&lt;"&amp;EOMONTH(TODAY(),-1)+1)</f>
        <v>2060.467169155428</v>
      </c>
      <c r="E4" s="23">
        <f>SUMIFS(Table1368[Bénéfice],Table1368[Date revente],"&gt;="&amp;DATE(YEAR(TODAY()),1,1),Table1368[Date revente],"&lt;"&amp;DATE(YEAR(TODAY())+1,1,1))</f>
        <v>10901.953338077172</v>
      </c>
      <c r="F4" s="24">
        <f>SUMIFS(Table1368[Bénéfice],Table1368[Date revente],"&gt;="&amp;DATE(YEAR(TODAY())-1,1,1),Table1368[Date revente],"&lt;"&amp;DATE(YEAR(TODAY()),1,1))</f>
        <v>1684.6699999999998</v>
      </c>
      <c r="G4" s="25">
        <f>IF(SUMIFS(Table1368[[Bénéfice]:[Bénéfice]],Table1368[[Date revente]:[Date revente]],"&gt;="&amp;G$2,Table1368[[Date revente]:[Date revente]],"&lt;"&amp;EDATE(G$2,1))=0,"-",SUMIFS(Table1368[[Bénéfice]:[Bénéfice]],Table1368[[Date revente]:[Date revente]],"&gt;="&amp;G$2,Table1368[[Date revente]:[Date revente]],"&lt;"&amp;EDATE(G$2,1)))</f>
        <v>753.3815923809525</v>
      </c>
      <c r="H4" s="22">
        <f>IF(SUMIFS(Table1368[[Bénéfice]:[Bénéfice]],Table1368[[Date revente]:[Date revente]],"&gt;="&amp;H$2,Table1368[[Date revente]:[Date revente]],"&lt;"&amp;EDATE(H$2,1))=0,"-",SUMIFS(Table1368[[Bénéfice]:[Bénéfice]],Table1368[[Date revente]:[Date revente]],"&gt;="&amp;H$2,Table1368[[Date revente]:[Date revente]],"&lt;"&amp;EDATE(H$2,1)))</f>
        <v>715.5899911229947</v>
      </c>
      <c r="I4" s="22">
        <f>IF(SUMIFS(Table1368[[Bénéfice]:[Bénéfice]],Table1368[[Date revente]:[Date revente]],"&gt;="&amp;I$2,Table1368[[Date revente]:[Date revente]],"&lt;"&amp;EDATE(I$2,1))=0,"-",SUMIFS(Table1368[[Bénéfice]:[Bénéfice]],Table1368[[Date revente]:[Date revente]],"&gt;="&amp;I$2,Table1368[[Date revente]:[Date revente]],"&lt;"&amp;EDATE(I$2,1)))</f>
        <v>951.8867925696206</v>
      </c>
      <c r="J4" s="22">
        <f>IF(SUMIFS(Table1368[[Bénéfice]:[Bénéfice]],Table1368[[Date revente]:[Date revente]],"&gt;="&amp;J$2,Table1368[[Date revente]:[Date revente]],"&lt;"&amp;EDATE(J$2,1))=0,"-",SUMIFS(Table1368[[Bénéfice]:[Bénéfice]],Table1368[[Date revente]:[Date revente]],"&gt;="&amp;J$2,Table1368[[Date revente]:[Date revente]],"&lt;"&amp;EDATE(J$2,1)))</f>
        <v>1193.3313738824295</v>
      </c>
      <c r="K4" s="22">
        <f>IF(SUMIFS(Table1368[[Bénéfice]:[Bénéfice]],Table1368[[Date revente]:[Date revente]],"&gt;="&amp;K$2,Table1368[[Date revente]:[Date revente]],"&lt;"&amp;EDATE(K$2,1))=0,"-",SUMIFS(Table1368[[Bénéfice]:[Bénéfice]],Table1368[[Date revente]:[Date revente]],"&gt;="&amp;K$2,Table1368[[Date revente]:[Date revente]],"&lt;"&amp;EDATE(K$2,1)))</f>
        <v>1354.867463311001</v>
      </c>
      <c r="L4" s="22">
        <f>IF(SUMIFS(Table1368[[Bénéfice]:[Bénéfice]],Table1368[[Date revente]:[Date revente]],"&gt;="&amp;L$2,Table1368[[Date revente]:[Date revente]],"&lt;"&amp;EDATE(L$2,1))=0,"-",SUMIFS(Table1368[[Bénéfice]:[Bénéfice]],Table1368[[Date revente]:[Date revente]],"&gt;="&amp;L$2,Table1368[[Date revente]:[Date revente]],"&lt;"&amp;EDATE(L$2,1)))</f>
        <v>1499.8118414776675</v>
      </c>
      <c r="M4" s="22">
        <f>IF(SUMIFS(Table1368[[Bénéfice]:[Bénéfice]],Table1368[[Date revente]:[Date revente]],"&gt;="&amp;M$2,Table1368[[Date revente]:[Date revente]],"&lt;"&amp;EDATE(M$2,1))=0,"-",SUMIFS(Table1368[[Bénéfice]:[Bénéfice]],Table1368[[Date revente]:[Date revente]],"&gt;="&amp;M$2,Table1368[[Date revente]:[Date revente]],"&lt;"&amp;EDATE(M$2,1)))</f>
        <v>1022.2706734639253</v>
      </c>
      <c r="N4" s="22">
        <f>IF(SUMIFS(Table1368[[Bénéfice]:[Bénéfice]],Table1368[[Date revente]:[Date revente]],"&gt;="&amp;N$2,Table1368[[Date revente]:[Date revente]],"&lt;"&amp;EDATE(N$2,1))=0,"-",SUMIFS(Table1368[[Bénéfice]:[Bénéfice]],Table1368[[Date revente]:[Date revente]],"&gt;="&amp;N$2,Table1368[[Date revente]:[Date revente]],"&lt;"&amp;EDATE(N$2,1)))</f>
        <v>491.40288945658267</v>
      </c>
      <c r="O4" s="22">
        <f>IF(SUMIFS(Table1368[[Bénéfice]:[Bénéfice]],Table1368[[Date revente]:[Date revente]],"&gt;="&amp;O$2,Table1368[[Date revente]:[Date revente]],"&lt;"&amp;EDATE(O$2,1))=0,"-",SUMIFS(Table1368[[Bénéfice]:[Bénéfice]],Table1368[[Date revente]:[Date revente]],"&gt;="&amp;O$2,Table1368[[Date revente]:[Date revente]],"&lt;"&amp;EDATE(O$2,1)))</f>
        <v>2060.467169155428</v>
      </c>
      <c r="P4" s="22">
        <f>IF(SUMIFS(Table1368[[Bénéfice]:[Bénéfice]],Table1368[[Date revente]:[Date revente]],"&gt;="&amp;P$2,Table1368[[Date revente]:[Date revente]],"&lt;"&amp;EDATE(P$2,1))=0,"-",SUMIFS(Table1368[[Bénéfice]:[Bénéfice]],Table1368[[Date revente]:[Date revente]],"&gt;="&amp;P$2,Table1368[[Date revente]:[Date revente]],"&lt;"&amp;EDATE(P$2,1)))</f>
        <v>858.9435512565827</v>
      </c>
      <c r="Q4" s="22" t="str">
        <f>IF(SUMIFS(Table1368[[Bénéfice]:[Bénéfice]],Table1368[[Date revente]:[Date revente]],"&gt;="&amp;Q$2,Table1368[[Date revente]:[Date revente]],"&lt;"&amp;EDATE(Q$2,1))=0,"-",SUMIFS(Table1368[[Bénéfice]:[Bénéfice]],Table1368[[Date revente]:[Date revente]],"&gt;="&amp;Q$2,Table1368[[Date revente]:[Date revente]],"&lt;"&amp;EDATE(Q$2,1)))</f>
        <v>-</v>
      </c>
      <c r="R4" s="24" t="str">
        <f>IF(SUMIFS(Table1368[[Bénéfice]:[Bénéfice]],Table1368[[Date revente]:[Date revente]],"&gt;="&amp;R$2,Table1368[[Date revente]:[Date revente]],"&lt;"&amp;EDATE(R$2,1))=0,"-",SUMIFS(Table1368[[Bénéfice]:[Bénéfice]],Table1368[[Date revente]:[Date revente]],"&gt;="&amp;R$2,Table1368[[Date revente]:[Date revente]],"&lt;"&amp;EDATE(R$2,1)))</f>
        <v>-</v>
      </c>
    </row>
    <row r="5" ht="15.6" customHeight="1" spans="1:18" s="2" customFormat="1" x14ac:dyDescent="0.25">
      <c r="A5" s="20" t="s">
        <v>18</v>
      </c>
      <c r="B5" s="21" t="s">
        <v>21</v>
      </c>
      <c r="C5" s="22">
        <f>IFERROR(AVERAGEIFS(Table1368[Bénéfice],Table1368[Date revente],"&gt;="&amp;EOMONTH(TODAY(),-1)+1,Table1368[Date revente],"&lt;"&amp;EOMONTH(TODAY(),0)+1),"-")</f>
        <v>61.35311080404163</v>
      </c>
      <c r="D5" s="22">
        <f>IFERROR(AVERAGEIFS(Table1368[Bénéfice],Table1368[Date revente],"&gt;="&amp;EOMONTH(TODAY(),-2)+1,Table1368[Date revente],"&lt;"&amp;EOMONTH(TODAY(),-1)+1),"-")</f>
        <v>57.23519914320634</v>
      </c>
      <c r="E5" s="23">
        <f>IFERROR(AVERAGEIFS(Table1368[Bénéfice],Table1368[Date revente],"&gt;="&amp;DATE(YEAR(TODAY()),1,1),Table1368[Date revente],"&lt;"&amp;DATE(YEAR(TODAY())+1,1,1)),"-")</f>
        <v>45.049393958996575</v>
      </c>
      <c r="F5" s="24">
        <f>IFERROR(AVERAGEIFS(Table1368[Bénéfice],Table1368[Date revente],"&gt;="&amp;DATE(YEAR(TODAY())-1,1,1),Table1368[Date revente],"&lt;"&amp;DATE(YEAR(TODAY()),1,1)),"-")</f>
        <v>34.38102040816326</v>
      </c>
      <c r="G5" s="25">
        <f>IFERROR(AVERAGEIFS(Table1368[[Bénéfice]:[Bénéfice]],Table1368[[Date revente]:[Date revente]],"&gt;="&amp;G$2,Table1368[[Date revente]:[Date revente]],"&lt;"&amp;EDATE(G$2,1)),"-")</f>
        <v>25.97867559934319</v>
      </c>
      <c r="H5" s="22">
        <f>IFERROR(AVERAGEIFS(Table1368[[Bénéfice]:[Bénéfice]],Table1368[[Date revente]:[Date revente]],"&gt;="&amp;H$2,Table1368[[Date revente]:[Date revente]],"&lt;"&amp;EDATE(H$2,1)),"-")</f>
        <v>42.09352888958792</v>
      </c>
      <c r="I5" s="22">
        <f>IFERROR(AVERAGEIFS(Table1368[[Bénéfice]:[Bénéfice]],Table1368[[Date revente]:[Date revente]],"&gt;="&amp;I$2,Table1368[[Date revente]:[Date revente]],"&lt;"&amp;EDATE(I$2,1)),"-")</f>
        <v>43.2675814804373</v>
      </c>
      <c r="J5" s="22">
        <f>IFERROR(AVERAGEIFS(Table1368[[Bénéfice]:[Bénéfice]],Table1368[[Date revente]:[Date revente]],"&gt;="&amp;J$2,Table1368[[Date revente]:[Date revente]],"&lt;"&amp;EDATE(J$2,1)),"-")</f>
        <v>49.72214057843456</v>
      </c>
      <c r="K5" s="22">
        <f>IFERROR(AVERAGEIFS(Table1368[[Bénéfice]:[Bénéfice]],Table1368[[Date revente]:[Date revente]],"&gt;="&amp;K$2,Table1368[[Date revente]:[Date revente]],"&lt;"&amp;EDATE(K$2,1)),"-")</f>
        <v>46.71956770037935</v>
      </c>
      <c r="L5" s="22">
        <f>IFERROR(AVERAGEIFS(Table1368[[Bénéfice]:[Bénéfice]],Table1368[[Date revente]:[Date revente]],"&gt;="&amp;L$2,Table1368[[Date revente]:[Date revente]],"&lt;"&amp;EDATE(L$2,1)),"-")</f>
        <v>45.44884368114144</v>
      </c>
      <c r="M5" s="22">
        <f>IFERROR(AVERAGEIFS(Table1368[[Bénéfice]:[Bénéfice]],Table1368[[Date revente]:[Date revente]],"&gt;="&amp;M$2,Table1368[[Date revente]:[Date revente]],"&lt;"&amp;EDATE(M$2,1)),"-")</f>
        <v>42.59461139433022</v>
      </c>
      <c r="N5" s="22">
        <f>IFERROR(AVERAGEIFS(Table1368[[Bénéfice]:[Bénéfice]],Table1368[[Date revente]:[Date revente]],"&gt;="&amp;N$2,Table1368[[Date revente]:[Date revente]],"&lt;"&amp;EDATE(N$2,1)),"-")</f>
        <v>35.100206389755904</v>
      </c>
      <c r="O5" s="22">
        <f>IFERROR(AVERAGEIFS(Table1368[[Bénéfice]:[Bénéfice]],Table1368[[Date revente]:[Date revente]],"&gt;="&amp;O$2,Table1368[[Date revente]:[Date revente]],"&lt;"&amp;EDATE(O$2,1)),"-")</f>
        <v>57.23519914320634</v>
      </c>
      <c r="P5" s="22">
        <f>IFERROR(AVERAGEIFS(Table1368[[Bénéfice]:[Bénéfice]],Table1368[[Date revente]:[Date revente]],"&gt;="&amp;P$2,Table1368[[Date revente]:[Date revente]],"&lt;"&amp;EDATE(P$2,1)),"-")</f>
        <v>61.35311080404163</v>
      </c>
      <c r="Q5" s="22" t="str">
        <f>IFERROR(AVERAGEIFS(Table1368[[Bénéfice]:[Bénéfice]],Table1368[[Date revente]:[Date revente]],"&gt;="&amp;Q$2,Table1368[[Date revente]:[Date revente]],"&lt;"&amp;EDATE(Q$2,1)),"-")</f>
        <v>-</v>
      </c>
      <c r="R5" s="24" t="str">
        <f>IFERROR(AVERAGEIFS(Table1368[[Bénéfice]:[Bénéfice]],Table1368[[Date revente]:[Date revente]],"&gt;="&amp;R$2,Table1368[[Date revente]:[Date revente]],"&lt;"&amp;EDATE(R$2,1)),"-")</f>
        <v>-</v>
      </c>
    </row>
    <row r="6" ht="15.6" customHeight="1" spans="1:18" s="2" customFormat="1" x14ac:dyDescent="0.25">
      <c r="A6" s="20" t="s">
        <v>18</v>
      </c>
      <c r="B6" s="21" t="s">
        <v>22</v>
      </c>
      <c r="C6" s="26">
        <f>IFERROR(SUMIFS(Table1368[Prix de revente],Table1368[Date revente],"&gt;="&amp;EOMONTH(TODAY(),-1)+1,Table1368[Date revente],"&lt;"&amp;EOMONTH(TODAY(),0)+1)/SUMIFS(Table1368[Prix total Achat],Table1368[Date revente],"&gt;="&amp;EOMONTH(TODAY(),-1)+1,Table1368[Date revente],"&lt;"&amp;EOMONTH(TODAY(),0)+1),"-")</f>
        <v>2.707449637912672</v>
      </c>
      <c r="D6" s="26">
        <f>IFERROR(SUMIFS(Table1368[Prix de revente],Table1368[Date revente],"&gt;="&amp;EOMONTH(TODAY(),-2)+1,Table1368[Date revente],"&lt;"&amp;EOMONTH(TODAY(),-1)+1)/SUMIFS(Table1368[Prix total Achat],Table1368[Date revente],"&gt;="&amp;EOMONTH(TODAY(),-2)+1,Table1368[Date revente],"&lt;"&amp;EOMONTH(TODAY(),-1)+1),"-")</f>
        <v>2.4078721882626835</v>
      </c>
      <c r="E6" s="27">
        <f>IFERROR(SUMIFS(Table1368[Prix de revente],Table1368[Date revente],"&gt;="&amp;DATE(YEAR(TODAY()),1,1),Table1368[Date revente],"&lt;"&amp;DATE(YEAR(TODAY())+1,1,1))/SUMIFS(Table1368[Prix total Achat],Table1368[Date revente],"&gt;="&amp;DATE(YEAR(TODAY()),1,1),Table1368[Date revente],"&lt;"&amp;DATE(YEAR(TODAY())+1,1,1)),"-")</f>
        <v>2.298403925507589</v>
      </c>
      <c r="F6" s="28">
        <f>IFERROR(SUMIFS(Table1368[Prix de revente],Table1368[Date revente],"&gt;="&amp;DATE(YEAR(TODAY())-1,1,1),Table1368[Date revente],"&lt;"&amp;DATE(YEAR(TODAY()),1,1))/SUMIFS(Table1368[Prix total Achat],Table1368[Date revente],"&gt;="&amp;DATE(YEAR(TODAY())-1,1,1),Table1368[Date revente],"&lt;"&amp;DATE(YEAR(TODAY()),1,1)),"-")</f>
        <v>2.0767210139138323</v>
      </c>
      <c r="G6" s="29">
        <f>IFERROR(SUMIFS(Table1368[[Prix de revente]:[Prix de revente]],Table1368[[Date revente]:[Date revente]],"&gt;="&amp;G$2,Table1368[[Date revente]:[Date revente]],"&lt;"&amp;EDATE(G$2,1))/SUMIFS(Table1368[[Prix total Achat]:[Prix total Achat]],Table1368[[Date revente]:[Date revente]],"&gt;="&amp;G$2,Table1368[[Date revente]:[Date revente]],"&lt;"&amp;EDATE(G$2,1)),"-")</f>
        <v>2.2051822233973786</v>
      </c>
      <c r="H6" s="26">
        <f>IFERROR(SUMIFS(Table1368[[Prix de revente]:[Prix de revente]],Table1368[[Date revente]:[Date revente]],"&gt;="&amp;H$2,Table1368[[Date revente]:[Date revente]],"&lt;"&amp;EDATE(H$2,1))/SUMIFS(Table1368[[Prix total Achat]:[Prix total Achat]],Table1368[[Date revente]:[Date revente]],"&gt;="&amp;H$2,Table1368[[Date revente]:[Date revente]],"&lt;"&amp;EDATE(H$2,1)),"-")</f>
        <v>1.9762349523975817</v>
      </c>
      <c r="I6" s="26">
        <f>IFERROR(SUMIFS(Table1368[[Prix de revente]:[Prix de revente]],Table1368[[Date revente]:[Date revente]],"&gt;="&amp;I$2,Table1368[[Date revente]:[Date revente]],"&lt;"&amp;EDATE(I$2,1))/SUMIFS(Table1368[[Prix total Achat]:[Prix total Achat]],Table1368[[Date revente]:[Date revente]],"&gt;="&amp;I$2,Table1368[[Date revente]:[Date revente]],"&lt;"&amp;EDATE(I$2,1)),"-")</f>
        <v>2.225531873880158</v>
      </c>
      <c r="J6" s="26">
        <f>IFERROR(SUMIFS(Table1368[[Prix de revente]:[Prix de revente]],Table1368[[Date revente]:[Date revente]],"&gt;="&amp;J$2,Table1368[[Date revente]:[Date revente]],"&lt;"&amp;EDATE(J$2,1))/SUMIFS(Table1368[[Prix total Achat]:[Prix total Achat]],Table1368[[Date revente]:[Date revente]],"&gt;="&amp;J$2,Table1368[[Date revente]:[Date revente]],"&lt;"&amp;EDATE(J$2,1)),"-")</f>
        <v>2.3309983632261773</v>
      </c>
      <c r="K6" s="26">
        <f>IFERROR(SUMIFS(Table1368[[Prix de revente]:[Prix de revente]],Table1368[[Date revente]:[Date revente]],"&gt;="&amp;K$2,Table1368[[Date revente]:[Date revente]],"&lt;"&amp;EDATE(K$2,1))/SUMIFS(Table1368[[Prix total Achat]:[Prix total Achat]],Table1368[[Date revente]:[Date revente]],"&gt;="&amp;K$2,Table1368[[Date revente]:[Date revente]],"&lt;"&amp;EDATE(K$2,1)),"-")</f>
        <v>2.2742908221471283</v>
      </c>
      <c r="L6" s="26">
        <f>IFERROR(SUMIFS(Table1368[[Prix de revente]:[Prix de revente]],Table1368[[Date revente]:[Date revente]],"&gt;="&amp;L$2,Table1368[[Date revente]:[Date revente]],"&lt;"&amp;EDATE(L$2,1))/SUMIFS(Table1368[[Prix total Achat]:[Prix total Achat]],Table1368[[Date revente]:[Date revente]],"&gt;="&amp;L$2,Table1368[[Date revente]:[Date revente]],"&lt;"&amp;EDATE(L$2,1)),"-")</f>
        <v>2.3248423517496892</v>
      </c>
      <c r="M6" s="26">
        <f>IFERROR(SUMIFS(Table1368[[Prix de revente]:[Prix de revente]],Table1368[[Date revente]:[Date revente]],"&gt;="&amp;M$2,Table1368[[Date revente]:[Date revente]],"&lt;"&amp;EDATE(M$2,1))/SUMIFS(Table1368[[Prix total Achat]:[Prix total Achat]],Table1368[[Date revente]:[Date revente]],"&gt;="&amp;M$2,Table1368[[Date revente]:[Date revente]],"&lt;"&amp;EDATE(M$2,1)),"-")</f>
        <v>2.413089898302524</v>
      </c>
      <c r="N6" s="26">
        <f>IFERROR(SUMIFS(Table1368[[Prix de revente]:[Prix de revente]],Table1368[[Date revente]:[Date revente]],"&gt;="&amp;N$2,Table1368[[Date revente]:[Date revente]],"&lt;"&amp;EDATE(N$2,1))/SUMIFS(Table1368[[Prix total Achat]:[Prix total Achat]],Table1368[[Date revente]:[Date revente]],"&gt;="&amp;N$2,Table1368[[Date revente]:[Date revente]],"&lt;"&amp;EDATE(N$2,1)),"-")</f>
        <v>2.024402437821451</v>
      </c>
      <c r="O6" s="26">
        <f>IFERROR(SUMIFS(Table1368[[Prix de revente]:[Prix de revente]],Table1368[[Date revente]:[Date revente]],"&gt;="&amp;O$2,Table1368[[Date revente]:[Date revente]],"&lt;"&amp;EDATE(O$2,1))/SUMIFS(Table1368[[Prix total Achat]:[Prix total Achat]],Table1368[[Date revente]:[Date revente]],"&gt;="&amp;O$2,Table1368[[Date revente]:[Date revente]],"&lt;"&amp;EDATE(O$2,1)),"-")</f>
        <v>2.4078721882626835</v>
      </c>
      <c r="P6" s="26">
        <f>IFERROR(SUMIFS(Table1368[[Prix de revente]:[Prix de revente]],Table1368[[Date revente]:[Date revente]],"&gt;="&amp;P$2,Table1368[[Date revente]:[Date revente]],"&lt;"&amp;EDATE(P$2,1))/SUMIFS(Table1368[[Prix total Achat]:[Prix total Achat]],Table1368[[Date revente]:[Date revente]],"&gt;="&amp;P$2,Table1368[[Date revente]:[Date revente]],"&lt;"&amp;EDATE(P$2,1)),"-")</f>
        <v>2.707449637912672</v>
      </c>
      <c r="Q6" s="26" t="str">
        <f>IFERROR(SUMIFS(Table1368[[Prix de revente]:[Prix de revente]],Table1368[[Date revente]:[Date revente]],"&gt;="&amp;Q$2,Table1368[[Date revente]:[Date revente]],"&lt;"&amp;EDATE(Q$2,1))/SUMIFS(Table1368[[Prix total Achat]:[Prix total Achat]],Table1368[[Date revente]:[Date revente]],"&gt;="&amp;Q$2,Table1368[[Date revente]:[Date revente]],"&lt;"&amp;EDATE(Q$2,1)),"-")</f>
        <v>-</v>
      </c>
      <c r="R6" s="28" t="str">
        <f>IFERROR(SUMIFS(Table1368[[Prix de revente]:[Prix de revente]],Table1368[[Date revente]:[Date revente]],"&gt;="&amp;R$2,Table1368[[Date revente]:[Date revente]],"&lt;"&amp;EDATE(R$2,1))/SUMIFS(Table1368[[Prix total Achat]:[Prix total Achat]],Table1368[[Date revente]:[Date revente]],"&gt;="&amp;R$2,Table1368[[Date revente]:[Date revente]],"&lt;"&amp;EDATE(R$2,1)),"-")</f>
        <v>-</v>
      </c>
    </row>
    <row r="7" ht="15.6" customHeight="1" spans="1:18" s="2" customFormat="1" x14ac:dyDescent="0.25">
      <c r="A7" s="20" t="s">
        <v>18</v>
      </c>
      <c r="B7" s="21" t="s">
        <v>23</v>
      </c>
      <c r="C7" s="22">
        <f>IFERROR(AVERAGEIFS(Table1368[Prix de revente],Table1368[Date revente],"&gt;="&amp;EOMONTH(TODAY(),-1)+1,Table1368[Date revente],"&lt;"&amp;EOMONTH(TODAY(),0)+1),"-")</f>
        <v>97.28571428571429</v>
      </c>
      <c r="D7" s="22">
        <f>IFERROR(AVERAGEIFS(Table1368[Prix de revente],Table1368[Date revente],"&gt;="&amp;EOMONTH(TODAY(),-2)+1,Table1368[Date revente],"&lt;"&amp;EOMONTH(TODAY(),-1)+1),"-")</f>
        <v>97.88888888888887</v>
      </c>
      <c r="E7" s="23">
        <f>IFERROR(AVERAGEIFS(Table1368[Prix de revente],Table1368[Date revente],"&gt;="&amp;DATE(YEAR(TODAY()),1,1),Table1368[Date revente],"&lt;"&amp;DATE(YEAR(TODAY())+1,1,1)),"-")</f>
        <v>79.74537190082646</v>
      </c>
      <c r="F7" s="24">
        <f>IFERROR(AVERAGEIFS(Table1368[Prix de revente],Table1368[Date revente],"&gt;="&amp;DATE(YEAR(TODAY())-1,1,1),Table1368[Date revente],"&lt;"&amp;DATE(YEAR(TODAY()),1,1)),"-")</f>
        <v>66.31224489795918</v>
      </c>
      <c r="G7" s="25">
        <f>IFERROR(AVERAGEIFS(Table1368[[Prix de revente]:[Prix de revente]],Table1368[[Date revente]:[Date revente]],"&gt;="&amp;G$2,Table1368[[Date revente]:[Date revente]],"&lt;"&amp;EDATE(G$2,1)),"-")</f>
        <v>47.53448275862069</v>
      </c>
      <c r="H7" s="22">
        <f>IFERROR(AVERAGEIFS(Table1368[[Prix de revente]:[Prix de revente]],Table1368[[Date revente]:[Date revente]],"&gt;="&amp;H$2,Table1368[[Date revente]:[Date revente]],"&lt;"&amp;EDATE(H$2,1)),"-")</f>
        <v>85.21176470588235</v>
      </c>
      <c r="I7" s="22">
        <f>IFERROR(AVERAGEIFS(Table1368[[Prix de revente]:[Prix de revente]],Table1368[[Date revente]:[Date revente]],"&gt;="&amp;I$2,Table1368[[Date revente]:[Date revente]],"&lt;"&amp;EDATE(I$2,1)),"-")</f>
        <v>78.57272727272726</v>
      </c>
      <c r="J7" s="22">
        <f>IFERROR(AVERAGEIFS(Table1368[[Prix de revente]:[Prix de revente]],Table1368[[Date revente]:[Date revente]],"&gt;="&amp;J$2,Table1368[[Date revente]:[Date revente]],"&lt;"&amp;EDATE(J$2,1)),"-")</f>
        <v>87.07916666666665</v>
      </c>
      <c r="K7" s="22">
        <f>IFERROR(AVERAGEIFS(Table1368[[Prix de revente]:[Prix de revente]],Table1368[[Date revente]:[Date revente]],"&gt;="&amp;K$2,Table1368[[Date revente]:[Date revente]],"&lt;"&amp;EDATE(K$2,1)),"-")</f>
        <v>83.38275862068966</v>
      </c>
      <c r="L7" s="22">
        <f>IFERROR(AVERAGEIFS(Table1368[[Prix de revente]:[Prix de revente]],Table1368[[Date revente]:[Date revente]],"&gt;="&amp;L$2,Table1368[[Date revente]:[Date revente]],"&lt;"&amp;EDATE(L$2,1)),"-")</f>
        <v>79.75393939393939</v>
      </c>
      <c r="M7" s="22">
        <f>IFERROR(AVERAGEIFS(Table1368[[Prix de revente]:[Prix de revente]],Table1368[[Date revente]:[Date revente]],"&gt;="&amp;M$2,Table1368[[Date revente]:[Date revente]],"&lt;"&amp;EDATE(M$2,1)),"-")</f>
        <v>72.7375</v>
      </c>
      <c r="N7" s="22">
        <f>IFERROR(AVERAGEIFS(Table1368[[Prix de revente]:[Prix de revente]],Table1368[[Date revente]:[Date revente]],"&gt;="&amp;N$2,Table1368[[Date revente]:[Date revente]],"&lt;"&amp;EDATE(N$2,1)),"-")</f>
        <v>69.36428571428571</v>
      </c>
      <c r="O7" s="22">
        <f>IFERROR(AVERAGEIFS(Table1368[[Prix de revente]:[Prix de revente]],Table1368[[Date revente]:[Date revente]],"&gt;="&amp;O$2,Table1368[[Date revente]:[Date revente]],"&lt;"&amp;EDATE(O$2,1)),"-")</f>
        <v>97.88888888888887</v>
      </c>
      <c r="P7" s="22">
        <f>IFERROR(AVERAGEIFS(Table1368[[Prix de revente]:[Prix de revente]],Table1368[[Date revente]:[Date revente]],"&gt;="&amp;P$2,Table1368[[Date revente]:[Date revente]],"&lt;"&amp;EDATE(P$2,1)),"-")</f>
        <v>97.28571428571429</v>
      </c>
      <c r="Q7" s="22" t="str">
        <f>IFERROR(AVERAGEIFS(Table1368[[Prix de revente]:[Prix de revente]],Table1368[[Date revente]:[Date revente]],"&gt;="&amp;Q$2,Table1368[[Date revente]:[Date revente]],"&lt;"&amp;EDATE(Q$2,1)),"-")</f>
        <v>-</v>
      </c>
      <c r="R7" s="24" t="str">
        <f>IFERROR(AVERAGEIFS(Table1368[[Prix de revente]:[Prix de revente]],Table1368[[Date revente]:[Date revente]],"&gt;="&amp;R$2,Table1368[[Date revente]:[Date revente]],"&lt;"&amp;EDATE(R$2,1)),"-")</f>
        <v>-</v>
      </c>
    </row>
    <row r="8" ht="16.2" customHeight="1" spans="1:18" s="2" customFormat="1" x14ac:dyDescent="0.25">
      <c r="A8" s="30" t="s">
        <v>18</v>
      </c>
      <c r="B8" s="31" t="s">
        <v>24</v>
      </c>
      <c r="C8" s="32">
        <f t="array" ref="C8">SUMPRODUCT(--(MONTH(Table1368[Date revente])=MONTH(TODAY())),--(YEAR(Table1368[Date revente])=YEAR(TODAY())))</f>
        <v>14</v>
      </c>
      <c r="D8" s="33">
        <f t="array" ref="D8">SUMPRODUCT(--(MONTH(Table1368[Date revente])=MONTH(EDATE(TODAY(),-1))),--(YEAR(Table1368[Date revente])=YEAR(EDATE(TODAY(),-1))))</f>
        <v>36</v>
      </c>
      <c r="E8" s="34">
        <f t="array" ref="E8">SUMPRODUCT(--(YEAR(Table1368[Date revente])=YEAR(TODAY())))</f>
        <v>242</v>
      </c>
      <c r="F8" s="35">
        <f t="array" ref="F8">SUMPRODUCT(--(YEAR(Table1368[Date revente])=YEAR(TODAY())-1))</f>
        <v>49</v>
      </c>
      <c r="G8" s="36">
        <f>IF(COUNTIFS(Table1368[[Date revente]:[Date revente]],"&gt;="&amp;G$2,Table1368[[Date revente]:[Date revente]],"&lt;"&amp;EDATE(G$2,1))=0,"-",COUNTIFS(Table1368[[Date revente]:[Date revente]],"&gt;="&amp;G$2,Table1368[[Date revente]:[Date revente]],"&lt;"&amp;EDATE(G$2,1)))</f>
        <v>29</v>
      </c>
      <c r="H8" s="33">
        <f>IF(COUNTIFS(Table1368[[Date revente]:[Date revente]],"&gt;="&amp;H$2,Table1368[[Date revente]:[Date revente]],"&lt;"&amp;EDATE(H$2,1))=0,"-",COUNTIFS(Table1368[[Date revente]:[Date revente]],"&gt;="&amp;H$2,Table1368[[Date revente]:[Date revente]],"&lt;"&amp;EDATE(H$2,1)))</f>
        <v>17</v>
      </c>
      <c r="I8" s="32">
        <f>IF(COUNTIFS(Table1368[[Date revente]:[Date revente]],"&gt;="&amp;I$2,Table1368[[Date revente]:[Date revente]],"&lt;"&amp;EDATE(I$2,1))=0,"-",COUNTIFS(Table1368[[Date revente]:[Date revente]],"&gt;="&amp;I$2,Table1368[[Date revente]:[Date revente]],"&lt;"&amp;EDATE(I$2,1)))</f>
        <v>22</v>
      </c>
      <c r="J8" s="33">
        <f>IF(COUNTIFS(Table1368[[Date revente]:[Date revente]],"&gt;="&amp;J$2,Table1368[[Date revente]:[Date revente]],"&lt;"&amp;EDATE(J$2,1))=0,"-",COUNTIFS(Table1368[[Date revente]:[Date revente]],"&gt;="&amp;J$2,Table1368[[Date revente]:[Date revente]],"&lt;"&amp;EDATE(J$2,1)))</f>
        <v>24</v>
      </c>
      <c r="K8" s="33">
        <f>IF(COUNTIFS(Table1368[[Date revente]:[Date revente]],"&gt;="&amp;K$2,Table1368[[Date revente]:[Date revente]],"&lt;"&amp;EDATE(K$2,1))=0,"-",COUNTIFS(Table1368[[Date revente]:[Date revente]],"&gt;="&amp;K$2,Table1368[[Date revente]:[Date revente]],"&lt;"&amp;EDATE(K$2,1)))</f>
        <v>29</v>
      </c>
      <c r="L8" s="33">
        <f>IF(COUNTIFS(Table1368[[Date revente]:[Date revente]],"&gt;="&amp;L$2,Table1368[[Date revente]:[Date revente]],"&lt;"&amp;EDATE(L$2,1))=0,"-",COUNTIFS(Table1368[[Date revente]:[Date revente]],"&gt;="&amp;L$2,Table1368[[Date revente]:[Date revente]],"&lt;"&amp;EDATE(L$2,1)))</f>
        <v>33</v>
      </c>
      <c r="M8" s="33">
        <f>IF(COUNTIFS(Table1368[[Date revente]:[Date revente]],"&gt;="&amp;M$2,Table1368[[Date revente]:[Date revente]],"&lt;"&amp;EDATE(M$2,1))=0,"-",COUNTIFS(Table1368[[Date revente]:[Date revente]],"&gt;="&amp;M$2,Table1368[[Date revente]:[Date revente]],"&lt;"&amp;EDATE(M$2,1)))</f>
        <v>24</v>
      </c>
      <c r="N8" s="33">
        <f>IF(COUNTIFS(Table1368[[Date revente]:[Date revente]],"&gt;="&amp;N$2,Table1368[[Date revente]:[Date revente]],"&lt;"&amp;EDATE(N$2,1))=0,"-",COUNTIFS(Table1368[[Date revente]:[Date revente]],"&gt;="&amp;N$2,Table1368[[Date revente]:[Date revente]],"&lt;"&amp;EDATE(N$2,1)))</f>
        <v>14</v>
      </c>
      <c r="O8" s="33">
        <f>IF(COUNTIFS(Table1368[[Date revente]:[Date revente]],"&gt;="&amp;O$2,Table1368[[Date revente]:[Date revente]],"&lt;"&amp;EDATE(O$2,1))=0,"-",COUNTIFS(Table1368[[Date revente]:[Date revente]],"&gt;="&amp;O$2,Table1368[[Date revente]:[Date revente]],"&lt;"&amp;EDATE(O$2,1)))</f>
        <v>36</v>
      </c>
      <c r="P8" s="33">
        <f>IF(COUNTIFS(Table1368[[Date revente]:[Date revente]],"&gt;="&amp;P$2,Table1368[[Date revente]:[Date revente]],"&lt;"&amp;EDATE(P$2,1))=0,"-",COUNTIFS(Table1368[[Date revente]:[Date revente]],"&gt;="&amp;P$2,Table1368[[Date revente]:[Date revente]],"&lt;"&amp;EDATE(P$2,1)))</f>
        <v>14</v>
      </c>
      <c r="Q8" s="33" t="str">
        <f>IF(COUNTIFS(Table1368[[Date revente]:[Date revente]],"&gt;="&amp;Q$2,Table1368[[Date revente]:[Date revente]],"&lt;"&amp;EDATE(Q$2,1))=0,"-",COUNTIFS(Table1368[[Date revente]:[Date revente]],"&gt;="&amp;Q$2,Table1368[[Date revente]:[Date revente]],"&lt;"&amp;EDATE(Q$2,1)))</f>
        <v>-</v>
      </c>
      <c r="R8" s="35" t="str">
        <f>IF(COUNTIFS(Table1368[[Date revente]:[Date revente]],"&gt;="&amp;R$2,Table1368[[Date revente]:[Date revente]],"&lt;"&amp;EDATE(R$2,1))=0,"-",COUNTIFS(Table1368[[Date revente]:[Date revente]],"&gt;="&amp;R$2,Table1368[[Date revente]:[Date revente]],"&lt;"&amp;EDATE(R$2,1)))</f>
        <v>-</v>
      </c>
    </row>
    <row r="9" ht="15.6" customHeight="1" spans="1:18" s="2" customFormat="1" x14ac:dyDescent="0.25">
      <c r="A9" s="14" t="s">
        <v>25</v>
      </c>
      <c r="B9" s="15" t="s">
        <v>26</v>
      </c>
      <c r="C9" s="16">
        <f>SUMIFS(Table1368[Prix total Achat],Table1368[Date achat],"&gt;="&amp;EOMONTH(TODAY(),-1)+1,Table1368[Date achat],"&lt;"&amp;EOMONTH(TODAY(),0)+1)</f>
        <v>94.97</v>
      </c>
      <c r="D9" s="16">
        <f>SUMIFS(Table1368[Prix total Achat],Table1368[Date achat],"&gt;="&amp;EOMONTH(TODAY(),-2)+1,Table1368[Date achat],"&lt;"&amp;EOMONTH(TODAY(),-1)+1)</f>
        <v>734.0489532</v>
      </c>
      <c r="E9" s="17">
        <f>SUMIFS(Table1368[Prix total Achat],Table1368[Date achat],"&gt;="&amp;DATE(YEAR(TODAY()),1,1),Table1368[Date achat],"&lt;"&amp;DATE(YEAR(TODAY())+1,1,1))</f>
        <v>11520.356966030173</v>
      </c>
      <c r="F9" s="18">
        <f>SUMIFS(Table1368[Prix total Achat],Table1368[Date achat],"&gt;="&amp;DATE(YEAR(TODAY())-1,1,1),Table1368[Date achat],"&lt;"&amp;DATE(YEAR(TODAY()),1,1))</f>
        <v>2525.119577142858</v>
      </c>
      <c r="G9" s="19">
        <v>928</v>
      </c>
      <c r="H9" s="16" t="str">
        <f>IF(SUMIFS(Table1368[[Prix total Achat]:[Prix total Achat]],Table1368[[Date achat]:[Date achat]],"&gt;="&amp;H$2,Table1368[[Date achat]:[Date achat]],"&lt;"&amp;EDATE(H$2,1))=0,"-",SUMIFS(Table1368[[Prix total Achat]:[Prix total Achat]],Table1368[[Date achat]:[Date achat]],"&gt;="&amp;H$2,Table1368[[Date achat]:[Date achat]],"&lt;"&amp;EDATE(H$2,1)))</f>
        <v>-</v>
      </c>
      <c r="I9" s="16">
        <f>IF(SUMIFS(Table1368[[Prix total Achat]:[Prix total Achat]],Table1368[[Date achat]:[Date achat]],"&gt;="&amp;I$2,Table1368[[Date achat]:[Date achat]],"&lt;"&amp;EDATE(I$2,1))=0,"-",SUMIFS(Table1368[[Prix total Achat]:[Prix total Achat]],Table1368[[Date achat]:[Date achat]],"&gt;="&amp;I$2,Table1368[[Date achat]:[Date achat]],"&lt;"&amp;EDATE(I$2,1)))</f>
        <v>968.7888408857144</v>
      </c>
      <c r="J9" s="16">
        <f>IF(SUMIFS(Table1368[[Prix total Achat]:[Prix total Achat]],Table1368[[Date achat]:[Date achat]],"&gt;="&amp;J$2,Table1368[[Date achat]:[Date achat]],"&lt;"&amp;EDATE(J$2,1))=0,"-",SUMIFS(Table1368[[Prix total Achat]:[Prix total Achat]],Table1368[[Date achat]:[Date achat]],"&gt;="&amp;J$2,Table1368[[Date achat]:[Date achat]],"&lt;"&amp;EDATE(J$2,1)))</f>
        <v>1995.4833919999994</v>
      </c>
      <c r="K9" s="16">
        <f>IF(SUMIFS(Table1368[[Prix total Achat]:[Prix total Achat]],Table1368[[Date achat]:[Date achat]],"&gt;="&amp;K$2,Table1368[[Date achat]:[Date achat]],"&lt;"&amp;EDATE(K$2,1))=0,"-",SUMIFS(Table1368[[Prix total Achat]:[Prix total Achat]],Table1368[[Date achat]:[Date achat]],"&gt;="&amp;K$2,Table1368[[Date achat]:[Date achat]],"&lt;"&amp;EDATE(K$2,1)))</f>
        <v>2414.5243794999997</v>
      </c>
      <c r="L9" s="16">
        <f>IF(SUMIFS(Table1368[[Prix total Achat]:[Prix total Achat]],Table1368[[Date achat]:[Date achat]],"&gt;="&amp;L$2,Table1368[[Date achat]:[Date achat]],"&lt;"&amp;EDATE(L$2,1))=0,"-",SUMIFS(Table1368[[Prix total Achat]:[Prix total Achat]],Table1368[[Date achat]:[Date achat]],"&gt;="&amp;L$2,Table1368[[Date achat]:[Date achat]],"&lt;"&amp;EDATE(L$2,1)))</f>
        <v>2184.949878444444</v>
      </c>
      <c r="M9" s="16">
        <f>IF(SUMIFS(Table1368[[Prix total Achat]:[Prix total Achat]],Table1368[[Date achat]:[Date achat]],"&gt;="&amp;M$2,Table1368[[Date achat]:[Date achat]],"&lt;"&amp;EDATE(M$2,1))=0,"-",SUMIFS(Table1368[[Prix total Achat]:[Prix total Achat]],Table1368[[Date achat]:[Date achat]],"&gt;="&amp;M$2,Table1368[[Date achat]:[Date achat]],"&lt;"&amp;EDATE(M$2,1)))</f>
        <v>1339.392522</v>
      </c>
      <c r="N9" s="16">
        <f>IF(SUMIFS(Table1368[[Prix total Achat]:[Prix total Achat]],Table1368[[Date achat]:[Date achat]],"&gt;="&amp;N$2,Table1368[[Date achat]:[Date achat]],"&lt;"&amp;EDATE(N$2,1))=0,"-",SUMIFS(Table1368[[Prix total Achat]:[Prix total Achat]],Table1368[[Date achat]:[Date achat]],"&gt;="&amp;N$2,Table1368[[Date achat]:[Date achat]],"&lt;"&amp;EDATE(N$2,1)))</f>
        <v>76.63</v>
      </c>
      <c r="O9" s="16">
        <f>IF(SUMIFS(Table1368[[Prix total Achat]:[Prix total Achat]],Table1368[[Date achat]:[Date achat]],"&gt;="&amp;O$2,Table1368[[Date achat]:[Date achat]],"&lt;"&amp;EDATE(O$2,1))=0,"-",SUMIFS(Table1368[[Prix total Achat]:[Prix total Achat]],Table1368[[Date achat]:[Date achat]],"&gt;="&amp;O$2,Table1368[[Date achat]:[Date achat]],"&lt;"&amp;EDATE(O$2,1)))</f>
        <v>734.0489532</v>
      </c>
      <c r="P9" s="16">
        <f>IF(SUMIFS(Table1368[[Prix total Achat]:[Prix total Achat]],Table1368[[Date achat]:[Date achat]],"&gt;="&amp;P$2,Table1368[[Date achat]:[Date achat]],"&lt;"&amp;EDATE(P$2,1))=0,"-",SUMIFS(Table1368[[Prix total Achat]:[Prix total Achat]],Table1368[[Date achat]:[Date achat]],"&gt;="&amp;P$2,Table1368[[Date achat]:[Date achat]],"&lt;"&amp;EDATE(P$2,1)))</f>
        <v>94.97</v>
      </c>
      <c r="Q9" s="16" t="str">
        <f>IF(SUMIFS(Table1368[[Prix total Achat]:[Prix total Achat]],Table1368[[Date achat]:[Date achat]],"&gt;="&amp;Q$2,Table1368[[Date achat]:[Date achat]],"&lt;"&amp;EDATE(Q$2,1))=0,"-",SUMIFS(Table1368[[Prix total Achat]:[Prix total Achat]],Table1368[[Date achat]:[Date achat]],"&gt;="&amp;Q$2,Table1368[[Date achat]:[Date achat]],"&lt;"&amp;EDATE(Q$2,1)))</f>
        <v>-</v>
      </c>
      <c r="R9" s="18" t="str">
        <f>IF(SUMIFS(Table1368[[Prix total Achat]:[Prix total Achat]],Table1368[[Date achat]:[Date achat]],"&gt;="&amp;R$2,Table1368[[Date achat]:[Date achat]],"&lt;"&amp;EDATE(R$2,1))=0,"-",SUMIFS(Table1368[[Prix total Achat]:[Prix total Achat]],Table1368[[Date achat]:[Date achat]],"&gt;="&amp;R$2,Table1368[[Date achat]:[Date achat]],"&lt;"&amp;EDATE(R$2,1)))</f>
        <v>-</v>
      </c>
    </row>
    <row r="10" ht="15.6" customHeight="1" spans="1:18" s="2" customFormat="1" x14ac:dyDescent="0.25">
      <c r="A10" s="20" t="s">
        <v>25</v>
      </c>
      <c r="B10" s="21" t="s">
        <v>27</v>
      </c>
      <c r="C10" s="22">
        <f>IFERROR(AVERAGEIFS(Table1368[Prix total Achat],Table1368[Date achat],"&gt;="&amp;EOMONTH(TODAY(),-1)+1,Table1368[Date achat],"&lt;"&amp;EOMONTH(TODAY(),0)+1),"-")</f>
        <v>23.7425</v>
      </c>
      <c r="D10" s="22">
        <f>IFERROR(AVERAGEIFS(Table1368[Prix total Achat],Table1368[Date achat],"&gt;="&amp;EOMONTH(TODAY(),-2)+1,Table1368[Date achat],"&lt;"&amp;EOMONTH(TODAY(),-1)+1),"-")</f>
        <v>26.216034042857142</v>
      </c>
      <c r="E10" s="23">
        <f>IFERROR(AVERAGEIFS(Table1368[Prix total Achat],Table1368[Date achat],"&gt;="&amp;DATE(YEAR(TODAY()),1,1),Table1368[Date achat],"&lt;"&amp;DATE(YEAR(TODAY())+1,1,1)),"-")</f>
        <v>35.123039530579796</v>
      </c>
      <c r="F10" s="24">
        <f>IFERROR(AVERAGEIFS(Table1368[Prix total Achat],Table1368[Date achat],"&gt;="&amp;DATE(YEAR(TODAY())-1,1,1),Table1368[Date achat],"&lt;"&amp;DATE(YEAR(TODAY()),1,1)),"-")</f>
        <v>29.707289142857153</v>
      </c>
      <c r="G10" s="25">
        <v>31</v>
      </c>
      <c r="H10" s="22" t="str">
        <f>IFERROR(AVERAGEIFS(Table1368[[Prix total Achat]:[Prix total Achat]],Table1368[[Date achat]:[Date achat]],"&gt;="&amp;H$2,Table1368[[Date achat]:[Date achat]],"&lt;"&amp;EDATE(H$2,1)),"-")</f>
        <v>-</v>
      </c>
      <c r="I10" s="22">
        <f>IFERROR(AVERAGEIFS(Table1368[[Prix total Achat]:[Prix total Achat]],Table1368[[Date achat]:[Date achat]],"&gt;="&amp;I$2,Table1368[[Date achat]:[Date achat]],"&lt;"&amp;EDATE(I$2,1)),"-")</f>
        <v>32.29296136285715</v>
      </c>
      <c r="J10" s="22">
        <f>IFERROR(AVERAGEIFS(Table1368[[Prix total Achat]:[Prix total Achat]],Table1368[[Date achat]:[Date achat]],"&gt;="&amp;J$2,Table1368[[Date achat]:[Date achat]],"&lt;"&amp;EDATE(J$2,1)),"-")</f>
        <v>36.95339614814814</v>
      </c>
      <c r="K10" s="22">
        <f>IFERROR(AVERAGEIFS(Table1368[[Prix total Achat]:[Prix total Achat]],Table1368[[Date achat]:[Date achat]],"&gt;="&amp;K$2,Table1368[[Date achat]:[Date achat]],"&lt;"&amp;EDATE(K$2,1)),"-")</f>
        <v>35.50771146323529</v>
      </c>
      <c r="L10" s="22">
        <f>IFERROR(AVERAGEIFS(Table1368[[Prix total Achat]:[Prix total Achat]],Table1368[[Date achat]:[Date achat]],"&gt;="&amp;L$2,Table1368[[Date achat]:[Date achat]],"&lt;"&amp;EDATE(L$2,1)),"-")</f>
        <v>37.03304878719397</v>
      </c>
      <c r="M10" s="22">
        <f>IFERROR(AVERAGEIFS(Table1368[[Prix total Achat]:[Prix total Achat]],Table1368[[Date achat]:[Date achat]],"&gt;="&amp;M$2,Table1368[[Date achat]:[Date achat]],"&lt;"&amp;EDATE(M$2,1)),"-")</f>
        <v>32.66811029268293</v>
      </c>
      <c r="N10" s="22">
        <f>IFERROR(AVERAGEIFS(Table1368[[Prix total Achat]:[Prix total Achat]],Table1368[[Date achat]:[Date achat]],"&gt;="&amp;N$2,Table1368[[Date achat]:[Date achat]],"&lt;"&amp;EDATE(N$2,1)),"-")</f>
        <v>38.315</v>
      </c>
      <c r="O10" s="22">
        <f>IFERROR(AVERAGEIFS(Table1368[[Prix total Achat]:[Prix total Achat]],Table1368[[Date achat]:[Date achat]],"&gt;="&amp;O$2,Table1368[[Date achat]:[Date achat]],"&lt;"&amp;EDATE(O$2,1)),"-")</f>
        <v>26.216034042857142</v>
      </c>
      <c r="P10" s="22">
        <f>IFERROR(AVERAGEIFS(Table1368[[Prix total Achat]:[Prix total Achat]],Table1368[[Date achat]:[Date achat]],"&gt;="&amp;P$2,Table1368[[Date achat]:[Date achat]],"&lt;"&amp;EDATE(P$2,1)),"-")</f>
        <v>23.7425</v>
      </c>
      <c r="Q10" s="22" t="str">
        <f>IFERROR(AVERAGEIFS(Table1368[[Prix total Achat]:[Prix total Achat]],Table1368[[Date achat]:[Date achat]],"&gt;="&amp;Q$2,Table1368[[Date achat]:[Date achat]],"&lt;"&amp;EDATE(Q$2,1)),"-")</f>
        <v>-</v>
      </c>
      <c r="R10" s="24" t="str">
        <f>IFERROR(AVERAGEIFS(Table1368[[Prix total Achat]:[Prix total Achat]],Table1368[[Date achat]:[Date achat]],"&gt;="&amp;R$2,Table1368[[Date achat]:[Date achat]],"&lt;"&amp;EDATE(R$2,1)),"-")</f>
        <v>-</v>
      </c>
    </row>
    <row r="11" ht="16.2" customHeight="1" spans="1:18" x14ac:dyDescent="0.25">
      <c r="A11" s="30" t="s">
        <v>25</v>
      </c>
      <c r="B11" s="31" t="s">
        <v>28</v>
      </c>
      <c r="C11" s="32">
        <f t="array" ref="C11">SUMPRODUCT(--(MONTH(Table1368[Date achat])=MONTH(TODAY())),--(YEAR(Table1368[Date achat])=YEAR(TODAY())))</f>
        <v>4</v>
      </c>
      <c r="D11" s="33">
        <f t="array" ref="D11">SUMPRODUCT(--(MONTH(Table1368[Date achat])=MONTH(EDATE(TODAY(),-1))),--(YEAR(Table1368[Date achat])=YEAR(EDATE(TODAY(),-1))))</f>
        <v>28</v>
      </c>
      <c r="E11" s="34">
        <f t="array" ref="E11">SUMPRODUCT(--(YEAR(Table1368[Date achat])=YEAR(TODAY())))</f>
        <v>328</v>
      </c>
      <c r="F11" s="35" t="s">
        <v>29</v>
      </c>
      <c r="G11" s="36">
        <f>IF(COUNTIFS(Table1368[[Date achat]:[Date achat]],"&gt;="&amp;G$2,Table1368[[Date achat]:[Date achat]],"&lt;"&amp;EDATE(G$2,1))=0,"-",COUNTIFS(Table1368[[Date achat]:[Date achat]],"&gt;="&amp;G$2,Table1368[[Date achat]:[Date achat]],"&lt;"&amp;EDATE(G$2,1)))</f>
        <v>42</v>
      </c>
      <c r="H11" s="33" t="str">
        <f>IF(COUNTIFS(Table1368[[Date achat]:[Date achat]],"&gt;="&amp;H$2,Table1368[[Date achat]:[Date achat]],"&lt;"&amp;EDATE(H$2,1))=0,"-",COUNTIFS(Table1368[[Date achat]:[Date achat]],"&gt;="&amp;H$2,Table1368[[Date achat]:[Date achat]],"&lt;"&amp;EDATE(H$2,1)))</f>
        <v>-</v>
      </c>
      <c r="I11" s="32">
        <f>IF(COUNTIFS(Table1368[[Date achat]:[Date achat]],"&gt;="&amp;I$2,Table1368[[Date achat]:[Date achat]],"&lt;"&amp;EDATE(I$2,1))=0,"-",COUNTIFS(Table1368[[Date achat]:[Date achat]],"&gt;="&amp;I$2,Table1368[[Date achat]:[Date achat]],"&lt;"&amp;EDATE(I$2,1)))</f>
        <v>30</v>
      </c>
      <c r="J11" s="33">
        <f>IF(COUNTIFS(Table1368[[Date achat]:[Date achat]],"&gt;="&amp;J$2,Table1368[[Date achat]:[Date achat]],"&lt;"&amp;EDATE(J$2,1))=0,"-",COUNTIFS(Table1368[[Date achat]:[Date achat]],"&gt;="&amp;J$2,Table1368[[Date achat]:[Date achat]],"&lt;"&amp;EDATE(J$2,1)))</f>
        <v>54</v>
      </c>
      <c r="K11" s="33">
        <f>IF(COUNTIFS(Table1368[[Date achat]:[Date achat]],"&gt;="&amp;K$2,Table1368[[Date achat]:[Date achat]],"&lt;"&amp;EDATE(K$2,1))=0,"-",COUNTIFS(Table1368[[Date achat]:[Date achat]],"&gt;="&amp;K$2,Table1368[[Date achat]:[Date achat]],"&lt;"&amp;EDATE(K$2,1)))</f>
        <v>68</v>
      </c>
      <c r="L11" s="33">
        <f>IF(COUNTIFS(Table1368[[Date achat]:[Date achat]],"&gt;="&amp;L$2,Table1368[[Date achat]:[Date achat]],"&lt;"&amp;EDATE(L$2,1))=0,"-",COUNTIFS(Table1368[[Date achat]:[Date achat]],"&gt;="&amp;L$2,Table1368[[Date achat]:[Date achat]],"&lt;"&amp;EDATE(L$2,1)))</f>
        <v>59</v>
      </c>
      <c r="M11" s="33">
        <f>IF(COUNTIFS(Table1368[[Date achat]:[Date achat]],"&gt;="&amp;M$2,Table1368[[Date achat]:[Date achat]],"&lt;"&amp;EDATE(M$2,1))=0,"-",COUNTIFS(Table1368[[Date achat]:[Date achat]],"&gt;="&amp;M$2,Table1368[[Date achat]:[Date achat]],"&lt;"&amp;EDATE(M$2,1)))</f>
        <v>41</v>
      </c>
      <c r="N11" s="33">
        <f>IF(COUNTIFS(Table1368[[Date achat]:[Date achat]],"&gt;="&amp;N$2,Table1368[[Date achat]:[Date achat]],"&lt;"&amp;EDATE(N$2,1))=0,"-",COUNTIFS(Table1368[[Date achat]:[Date achat]],"&gt;="&amp;N$2,Table1368[[Date achat]:[Date achat]],"&lt;"&amp;EDATE(N$2,1)))</f>
        <v>2</v>
      </c>
      <c r="O11" s="33">
        <f>IF(COUNTIFS(Table1368[[Date achat]:[Date achat]],"&gt;="&amp;O$2,Table1368[[Date achat]:[Date achat]],"&lt;"&amp;EDATE(O$2,1))=0,"-",COUNTIFS(Table1368[[Date achat]:[Date achat]],"&gt;="&amp;O$2,Table1368[[Date achat]:[Date achat]],"&lt;"&amp;EDATE(O$2,1)))</f>
        <v>28</v>
      </c>
      <c r="P11" s="33">
        <f>IF(COUNTIFS(Table1368[[Date achat]:[Date achat]],"&gt;="&amp;P$2,Table1368[[Date achat]:[Date achat]],"&lt;"&amp;EDATE(P$2,1))=0,"-",COUNTIFS(Table1368[[Date achat]:[Date achat]],"&gt;="&amp;P$2,Table1368[[Date achat]:[Date achat]],"&lt;"&amp;EDATE(P$2,1)))</f>
        <v>4</v>
      </c>
      <c r="Q11" s="33" t="str">
        <f>IF(COUNTIFS(Table1368[[Date achat]:[Date achat]],"&gt;="&amp;Q$2,Table1368[[Date achat]:[Date achat]],"&lt;"&amp;EDATE(Q$2,1))=0,"-",COUNTIFS(Table1368[[Date achat]:[Date achat]],"&gt;="&amp;Q$2,Table1368[[Date achat]:[Date achat]],"&lt;"&amp;EDATE(Q$2,1)))</f>
        <v>-</v>
      </c>
      <c r="R11" s="35" t="str">
        <f>IF(COUNTIFS(Table1368[[Date achat]:[Date achat]],"&gt;="&amp;R$2,Table1368[[Date achat]:[Date achat]],"&lt;"&amp;EDATE(R$2,1))=0,"-",COUNTIFS(Table1368[[Date achat]:[Date achat]],"&gt;="&amp;R$2,Table1368[[Date achat]:[Date achat]],"&lt;"&amp;EDATE(R$2,1)))</f>
        <v>-</v>
      </c>
    </row>
    <row r="12" ht="15.6" customHeight="1" spans="1:18" x14ac:dyDescent="0.25">
      <c r="A12" s="37" t="s">
        <v>30</v>
      </c>
      <c r="B12" s="38" t="s">
        <v>31</v>
      </c>
      <c r="C12" s="39">
        <f>IFERROR(AVERAGEIFS(Table1368[Délai achat &gt; réception d''achat],Table1368[Date réception Achat],"&gt;="&amp;EOMONTH(TODAY(),-1)+1,Table1368[Date réception Achat],"&lt;"&amp;EOMONTH(TODAY(),0)+1),"-")</f>
        <v>46</v>
      </c>
      <c r="D12" s="39">
        <f>IFERROR(AVERAGEIFS(Table1368[Délai achat &gt; réception d''achat],Table1368[Date réception Achat],"&gt;="&amp;EOMONTH(TODAY(),-2)+1,Table1368[Date réception Achat],"&lt;"&amp;EOMONTH(TODAY(),-1)+1),"-")</f>
        <v>51.32258064516129</v>
      </c>
      <c r="E12" s="40">
        <f>IFERROR(AVERAGEIFS(Table1368[Délai achat &gt; réception d''achat],Table1368[Date réception Achat],"&gt;="&amp;DATE(YEAR(TODAY()),1,1),Table1368[Date réception Achat],"&lt;"&amp;DATE(YEAR(TODAY())+1,1,1)),"-")</f>
        <v>27.865625</v>
      </c>
      <c r="F12" s="41">
        <f>IFERROR(AVERAGEIFS(Table1368[Délai achat &gt; réception d''achat],Table1368[Date réception Achat],"&gt;="&amp;DATE(YEAR(TODAY())-1,1,1),Table1368[Date réception Achat],"&lt;"&amp;DATE(YEAR(TODAY()),1,1)),"-")</f>
        <v>10.987012987012987</v>
      </c>
      <c r="G12" s="42">
        <f>IFERROR(AVERAGEIFS(Table1368[[Délai achat &gt; réception d''achat]:[Délai achat &gt; réception d''achat]],Table1368[[Date réception Achat]:[Date réception Achat]],"&gt;="&amp;G$2,Table1368[[Date réception Achat]:[Date réception Achat]],"&lt;"&amp;EDATE(G$2,1)),"-")</f>
        <v>10.210526315789474</v>
      </c>
      <c r="H12" s="39">
        <f>IFERROR(AVERAGEIFS(Table1368[[Délai achat &gt; réception d''achat]:[Délai achat &gt; réception d''achat]],Table1368[[Date réception Achat]:[Date réception Achat]],"&gt;="&amp;H$2,Table1368[[Date réception Achat]:[Date réception Achat]],"&lt;"&amp;EDATE(H$2,1)),"-")</f>
        <v>22.548387096774192</v>
      </c>
      <c r="I12" s="39">
        <f>IFERROR(AVERAGEIFS(Table1368[[Délai achat &gt; réception d''achat]:[Délai achat &gt; réception d''achat]],Table1368[[Date réception Achat]:[Date réception Achat]],"&gt;="&amp;I$2,Table1368[[Date réception Achat]:[Date réception Achat]],"&lt;"&amp;EDATE(I$2,1)),"-")</f>
        <v>10.476190476190476</v>
      </c>
      <c r="J12" s="39">
        <f>IFERROR(AVERAGEIFS(Table1368[[Délai achat &gt; réception d''achat]:[Délai achat &gt; réception d''achat]],Table1368[[Date réception Achat]:[Date réception Achat]],"&gt;="&amp;J$2,Table1368[[Date réception Achat]:[Date réception Achat]],"&lt;"&amp;EDATE(J$2,1)),"-")</f>
        <v>7.82051282051282</v>
      </c>
      <c r="K12" s="39">
        <f>IFERROR(AVERAGEIFS(Table1368[[Délai achat &gt; réception d''achat]:[Délai achat &gt; réception d''achat]],Table1368[[Date réception Achat]:[Date réception Achat]],"&gt;="&amp;K$2,Table1368[[Date réception Achat]:[Date réception Achat]],"&lt;"&amp;EDATE(K$2,1)),"-")</f>
        <v>8.68421052631579</v>
      </c>
      <c r="L12" s="39">
        <f>IFERROR(AVERAGEIFS(Table1368[[Délai achat &gt; réception d''achat]:[Délai achat &gt; réception d''achat]],Table1368[[Date réception Achat]:[Date réception Achat]],"&gt;="&amp;L$2,Table1368[[Date réception Achat]:[Date réception Achat]],"&lt;"&amp;EDATE(L$2,1)),"-")</f>
        <v>30.054054054054053</v>
      </c>
      <c r="M12" s="39">
        <f>IFERROR(AVERAGEIFS(Table1368[[Délai achat &gt; réception d''achat]:[Délai achat &gt; réception d''achat]],Table1368[[Date réception Achat]:[Date réception Achat]],"&gt;="&amp;M$2,Table1368[[Date réception Achat]:[Date réception Achat]],"&lt;"&amp;EDATE(M$2,1)),"-")</f>
        <v>30.12727272727273</v>
      </c>
      <c r="N12" s="39">
        <f>IFERROR(AVERAGEIFS(Table1368[[Délai achat &gt; réception d''achat]:[Délai achat &gt; réception d''achat]],Table1368[[Date réception Achat]:[Date réception Achat]],"&gt;="&amp;N$2,Table1368[[Date réception Achat]:[Date réception Achat]],"&lt;"&amp;EDATE(N$2,1)),"-")</f>
        <v>75.21052631578948</v>
      </c>
      <c r="O12" s="39">
        <f>IFERROR(AVERAGEIFS(Table1368[[Délai achat &gt; réception d''achat]:[Délai achat &gt; réception d''achat]],Table1368[[Date réception Achat]:[Date réception Achat]],"&gt;="&amp;O$2,Table1368[[Date réception Achat]:[Date réception Achat]],"&lt;"&amp;EDATE(O$2,1)),"-")</f>
        <v>51.32258064516129</v>
      </c>
      <c r="P12" s="39">
        <f>IFERROR(AVERAGEIFS(Table1368[[Délai achat &gt; réception d''achat]:[Délai achat &gt; réception d''achat]],Table1368[[Date réception Achat]:[Date réception Achat]],"&gt;="&amp;P$2,Table1368[[Date réception Achat]:[Date réception Achat]],"&lt;"&amp;EDATE(P$2,1)),"-")</f>
        <v>46</v>
      </c>
      <c r="Q12" s="39" t="str">
        <f>IFERROR(AVERAGEIFS(Table1368[[Délai achat &gt; réception d''achat]:[Délai achat &gt; réception d''achat]],Table1368[[Date réception Achat]:[Date réception Achat]],"&gt;="&amp;Q$2,Table1368[[Date réception Achat]:[Date réception Achat]],"&lt;"&amp;EDATE(Q$2,1)),"-")</f>
        <v>-</v>
      </c>
      <c r="R12" s="41" t="str">
        <f>IFERROR(AVERAGEIFS(Table1368[[Délai achat &gt; réception d''achat]:[Délai achat &gt; réception d''achat]],Table1368[[Date réception Achat]:[Date réception Achat]],"&gt;="&amp;R$2,Table1368[[Date réception Achat]:[Date réception Achat]],"&lt;"&amp;EDATE(R$2,1)),"-")</f>
        <v>-</v>
      </c>
    </row>
    <row r="13" ht="15.6" customHeight="1" spans="1:18" x14ac:dyDescent="0.25">
      <c r="A13" s="43" t="s">
        <v>30</v>
      </c>
      <c r="B13" s="44" t="s">
        <v>32</v>
      </c>
      <c r="C13" s="45">
        <f>IFERROR(AVERAGEIFS(Table1368[Délai réception d''achat &gt; relisting],Table1368[Date relisting],"&gt;="&amp;EOMONTH(TODAY(),-1)+1,Table1368[Date relisting],"&lt;"&amp;EOMONTH(TODAY(),0)+1),"-")</f>
        <v>4.277777777777778</v>
      </c>
      <c r="D13" s="45">
        <f>IFERROR(AVERAGEIFS(Table1368[Délai réception d''achat &gt; relisting],Table1368[Date relisting],"&gt;="&amp;EOMONTH(TODAY(),-2)+1,Table1368[Date relisting],"&lt;"&amp;EOMONTH(TODAY(),-1)+1),"-")</f>
        <v>22.362068965517242</v>
      </c>
      <c r="E13" s="46">
        <f>IFERROR(AVERAGEIFS(Table1368[Délai réception d''achat &gt; relisting],Table1368[Date relisting],"&gt;="&amp;DATE(YEAR(TODAY()),1,1),Table1368[Date relisting],"&lt;"&amp;DATE(YEAR(TODAY())+1,1,1)),"-")</f>
        <v>6.9423076923076925</v>
      </c>
      <c r="F13" s="47">
        <f>IFERROR(AVERAGEIFS(Table1368[Délai réception d''achat &gt; relisting],Table1368[Date relisting],"&gt;="&amp;DATE(YEAR(TODAY())-1,1,1),Table1368[Date relisting],"&lt;"&amp;DATE(YEAR(TODAY()),1,1)),"-")</f>
        <v>4.591549295774648</v>
      </c>
      <c r="G13" s="48">
        <f>IFERROR(AVERAGEIFS(Table1368[[Délai réception d''achat &gt; relisting]:[Délai réception d''achat &gt; relisting]],Table1368[[Date relisting]:[Date relisting]],"&gt;="&amp;G$2,Table1368[[Date relisting]:[Date relisting]],"&lt;"&amp;EDATE(G$2,1)),"-")</f>
        <v>8.36</v>
      </c>
      <c r="H13" s="45">
        <f>IFERROR(AVERAGEIFS(Table1368[[Délai réception d''achat &gt; relisting]:[Délai réception d''achat &gt; relisting]],Table1368[[Date relisting]:[Date relisting]],"&gt;="&amp;H$2,Table1368[[Date relisting]:[Date relisting]],"&lt;"&amp;EDATE(H$2,1)),"-")</f>
        <v>2.4516129032258065</v>
      </c>
      <c r="I13" s="45">
        <f>IFERROR(AVERAGEIFS(Table1368[[Délai réception d''achat &gt; relisting]:[Délai réception d''achat &gt; relisting]],Table1368[[Date relisting]:[Date relisting]],"&gt;="&amp;I$2,Table1368[[Date relisting]:[Date relisting]],"&lt;"&amp;EDATE(I$2,1)),"-")</f>
        <v>1.0476190476190477</v>
      </c>
      <c r="J13" s="45">
        <f>IFERROR(AVERAGEIFS(Table1368[[Délai réception d''achat &gt; relisting]:[Délai réception d''achat &gt; relisting]],Table1368[[Date relisting]:[Date relisting]],"&gt;="&amp;J$2,Table1368[[Date relisting]:[Date relisting]],"&lt;"&amp;EDATE(J$2,1)),"-")</f>
        <v>1.7419354838709677</v>
      </c>
      <c r="K13" s="45">
        <f>IFERROR(AVERAGEIFS(Table1368[[Délai réception d''achat &gt; relisting]:[Délai réception d''achat &gt; relisting]],Table1368[[Date relisting]:[Date relisting]],"&gt;="&amp;K$2,Table1368[[Date relisting]:[Date relisting]],"&lt;"&amp;EDATE(K$2,1)),"-")</f>
        <v>2.2</v>
      </c>
      <c r="L13" s="45">
        <f>IFERROR(AVERAGEIFS(Table1368[[Délai réception d''achat &gt; relisting]:[Délai réception d''achat &gt; relisting]],Table1368[[Date relisting]:[Date relisting]],"&gt;="&amp;L$2,Table1368[[Date relisting]:[Date relisting]],"&lt;"&amp;EDATE(L$2,1)),"-")</f>
        <v>3.973684210526316</v>
      </c>
      <c r="M13" s="45">
        <f>IFERROR(AVERAGEIFS(Table1368[[Délai réception d''achat &gt; relisting]:[Délai réception d''achat &gt; relisting]],Table1368[[Date relisting]:[Date relisting]],"&gt;="&amp;M$2,Table1368[[Date relisting]:[Date relisting]],"&lt;"&amp;EDATE(M$2,1)),"-")</f>
        <v>4.0227272727272725</v>
      </c>
      <c r="N13" s="45">
        <f>IFERROR(AVERAGEIFS(Table1368[[Délai réception d''achat &gt; relisting]:[Délai réception d''achat &gt; relisting]],Table1368[[Date relisting]:[Date relisting]],"&gt;="&amp;N$2,Table1368[[Date relisting]:[Date relisting]],"&lt;"&amp;EDATE(N$2,1)),"-")</f>
        <v>4</v>
      </c>
      <c r="O13" s="45">
        <f>IFERROR(AVERAGEIFS(Table1368[[Délai réception d''achat &gt; relisting]:[Délai réception d''achat &gt; relisting]],Table1368[[Date relisting]:[Date relisting]],"&gt;="&amp;O$2,Table1368[[Date relisting]:[Date relisting]],"&lt;"&amp;EDATE(O$2,1)),"-")</f>
        <v>22.362068965517242</v>
      </c>
      <c r="P13" s="45">
        <f>IFERROR(AVERAGEIFS(Table1368[[Délai réception d''achat &gt; relisting]:[Délai réception d''achat &gt; relisting]],Table1368[[Date relisting]:[Date relisting]],"&gt;="&amp;P$2,Table1368[[Date relisting]:[Date relisting]],"&lt;"&amp;EDATE(P$2,1)),"-")</f>
        <v>4.277777777777778</v>
      </c>
      <c r="Q13" s="45" t="str">
        <f>IFERROR(AVERAGEIFS(Table1368[[Délai réception d''achat &gt; relisting]:[Délai réception d''achat &gt; relisting]],Table1368[[Date relisting]:[Date relisting]],"&gt;="&amp;Q$2,Table1368[[Date relisting]:[Date relisting]],"&lt;"&amp;EDATE(Q$2,1)),"-")</f>
        <v>-</v>
      </c>
      <c r="R13" s="47" t="str">
        <f>IFERROR(AVERAGEIFS(Table1368[[Délai réception d''achat &gt; relisting]:[Délai réception d''achat &gt; relisting]],Table1368[[Date relisting]:[Date relisting]],"&gt;="&amp;R$2,Table1368[[Date relisting]:[Date relisting]],"&lt;"&amp;EDATE(R$2,1)),"-")</f>
        <v>-</v>
      </c>
    </row>
    <row r="14" ht="15.6" customHeight="1" spans="1:18" x14ac:dyDescent="0.25">
      <c r="A14" s="43" t="s">
        <v>30</v>
      </c>
      <c r="B14" s="44" t="s">
        <v>33</v>
      </c>
      <c r="C14" s="45">
        <f>IFERROR(AVERAGEIFS(Table1368[Délai relisting &gt; revente],Table1368[Date revente],"&gt;="&amp;EOMONTH(TODAY(),-1)+1,Table1368[Date revente],"&lt;"&amp;EOMONTH(TODAY(),0)+1),"-")</f>
        <v>28.214285714285715</v>
      </c>
      <c r="D14" s="45">
        <f>IFERROR(AVERAGEIFS(Table1368[Délai relisting &gt; revente],Table1368[Date revente],"&gt;="&amp;EOMONTH(TODAY(),-2)+1,Table1368[Date revente],"&lt;"&amp;EOMONTH(TODAY(),-1)+1),"-")</f>
        <v>68.33333333333333</v>
      </c>
      <c r="E14" s="46">
        <f>IFERROR(AVERAGEIFS(Table1368[Délai relisting &gt; revente],Table1368[Date revente],"&gt;="&amp;DATE(YEAR(TODAY()),1,1),Table1368[Date revente],"&lt;"&amp;DATE(YEAR(TODAY())+1,1,1)),"-")</f>
        <v>34.049586776859506</v>
      </c>
      <c r="F14" s="47">
        <f>IFERROR(AVERAGEIFS(Table1368[Délai relisting &gt; revente],Table1368[Date revente],"&gt;="&amp;DATE(YEAR(TODAY())-1,1,1),Table1368[Date revente],"&lt;"&amp;DATE(YEAR(TODAY()),1,1)),"-")</f>
        <v>23.857142857142858</v>
      </c>
      <c r="G14" s="48">
        <f>IFERROR(AVERAGEIFS(Table1368[[Délai relisting &gt; revente]:[Délai relisting &gt; revente]],Table1368[[Date revente]:[Date revente]],"&gt;="&amp;G$2,Table1368[[Date revente]:[Date revente]],"&lt;"&amp;EDATE(G$2,1)),"-")</f>
        <v>20.482758620689655</v>
      </c>
      <c r="H14" s="45">
        <f>IFERROR(AVERAGEIFS(Table1368[[Délai relisting &gt; revente]:[Délai relisting &gt; revente]],Table1368[[Date revente]:[Date revente]],"&gt;="&amp;H$2,Table1368[[Date revente]:[Date revente]],"&lt;"&amp;EDATE(H$2,1)),"-")</f>
        <v>21.941176470588236</v>
      </c>
      <c r="I14" s="45">
        <f>IFERROR(AVERAGEIFS(Table1368[[Délai relisting &gt; revente]:[Délai relisting &gt; revente]],Table1368[[Date revente]:[Date revente]],"&gt;="&amp;I$2,Table1368[[Date revente]:[Date revente]],"&lt;"&amp;EDATE(I$2,1)),"-")</f>
        <v>31.681818181818183</v>
      </c>
      <c r="J14" s="45">
        <f>IFERROR(AVERAGEIFS(Table1368[[Délai relisting &gt; revente]:[Délai relisting &gt; revente]],Table1368[[Date revente]:[Date revente]],"&gt;="&amp;J$2,Table1368[[Date revente]:[Date revente]],"&lt;"&amp;EDATE(J$2,1)),"-")</f>
        <v>39.25</v>
      </c>
      <c r="K14" s="45">
        <f>IFERROR(AVERAGEIFS(Table1368[[Délai relisting &gt; revente]:[Délai relisting &gt; revente]],Table1368[[Date revente]:[Date revente]],"&gt;="&amp;K$2,Table1368[[Date revente]:[Date revente]],"&lt;"&amp;EDATE(K$2,1)),"-")</f>
        <v>22.17241379310345</v>
      </c>
      <c r="L14" s="45">
        <f>IFERROR(AVERAGEIFS(Table1368[[Délai relisting &gt; revente]:[Délai relisting &gt; revente]],Table1368[[Date revente]:[Date revente]],"&gt;="&amp;L$2,Table1368[[Date revente]:[Date revente]],"&lt;"&amp;EDATE(L$2,1)),"-")</f>
        <v>27.96969696969697</v>
      </c>
      <c r="M14" s="45">
        <f>IFERROR(AVERAGEIFS(Table1368[[Délai relisting &gt; revente]:[Délai relisting &gt; revente]],Table1368[[Date revente]:[Date revente]],"&gt;="&amp;M$2,Table1368[[Date revente]:[Date revente]],"&lt;"&amp;EDATE(M$2,1)),"-")</f>
        <v>24</v>
      </c>
      <c r="N14" s="45">
        <f>IFERROR(AVERAGEIFS(Table1368[[Délai relisting &gt; revente]:[Délai relisting &gt; revente]],Table1368[[Date revente]:[Date revente]],"&gt;="&amp;N$2,Table1368[[Date revente]:[Date revente]],"&lt;"&amp;EDATE(N$2,1)),"-")</f>
        <v>45.5</v>
      </c>
      <c r="O14" s="45">
        <f>IFERROR(AVERAGEIFS(Table1368[[Délai relisting &gt; revente]:[Délai relisting &gt; revente]],Table1368[[Date revente]:[Date revente]],"&gt;="&amp;O$2,Table1368[[Date revente]:[Date revente]],"&lt;"&amp;EDATE(O$2,1)),"-")</f>
        <v>68.33333333333333</v>
      </c>
      <c r="P14" s="45">
        <f>IFERROR(AVERAGEIFS(Table1368[[Délai relisting &gt; revente]:[Délai relisting &gt; revente]],Table1368[[Date revente]:[Date revente]],"&gt;="&amp;P$2,Table1368[[Date revente]:[Date revente]],"&lt;"&amp;EDATE(P$2,1)),"-")</f>
        <v>28.214285714285715</v>
      </c>
      <c r="Q14" s="45" t="str">
        <f>IFERROR(AVERAGEIFS(Table1368[[Délai relisting &gt; revente]:[Délai relisting &gt; revente]],Table1368[[Date revente]:[Date revente]],"&gt;="&amp;Q$2,Table1368[[Date revente]:[Date revente]],"&lt;"&amp;EDATE(Q$2,1)),"-")</f>
        <v>-</v>
      </c>
      <c r="R14" s="47" t="str">
        <f>IFERROR(AVERAGEIFS(Table1368[[Délai relisting &gt; revente]:[Délai relisting &gt; revente]],Table1368[[Date revente]:[Date revente]],"&gt;="&amp;R$2,Table1368[[Date revente]:[Date revente]],"&lt;"&amp;EDATE(R$2,1)),"-")</f>
        <v>-</v>
      </c>
    </row>
    <row r="15" ht="16.2" customHeight="1" spans="1:18" x14ac:dyDescent="0.25">
      <c r="A15" s="49" t="s">
        <v>30</v>
      </c>
      <c r="B15" s="50" t="s">
        <v>34</v>
      </c>
      <c r="C15" s="32">
        <f>IFERROR(AVERAGEIFS(Table1368[Délai réception d''achat &gt; vente (jours stockés)],Table1368[Date revente],"&gt;="&amp;EOMONTH(TODAY(),-1)+1,Table1368[Date revente],"&lt;"&amp;EOMONTH(TODAY(),0)+1),"-")</f>
        <v>47.57142857142857</v>
      </c>
      <c r="D15" s="32">
        <f>IFERROR(AVERAGEIFS(Table1368[Délai réception d''achat &gt; vente (jours stockés)],Table1368[Date revente],"&gt;="&amp;EOMONTH(TODAY(),-2)+1,Table1368[Date revente],"&lt;"&amp;EOMONTH(TODAY(),-1)+1),"-")</f>
        <v>79.94444444444444</v>
      </c>
      <c r="E15" s="51">
        <f>IFERROR(AVERAGEIFS(Table1368[Délai réception d''achat &gt; vente (jours stockés)],Table1368[Date revente],"&gt;="&amp;DATE(YEAR(TODAY()),1,1),Table1368[Date revente],"&lt;"&amp;DATE(YEAR(TODAY())+1,1,1)),"-")</f>
        <v>39.768595041322314</v>
      </c>
      <c r="F15" s="52">
        <f>IFERROR(AVERAGEIFS(Table1368[Délai réception d''achat &gt; vente (jours stockés)],Table1368[Date achat],"&gt;="&amp;DATE(YEAR(TODAY())-1,1,1),Table1368[Date revente],"&lt;"&amp;DATE(YEAR(TODAY()),1,1)),"-")</f>
        <v>28.46938775510204</v>
      </c>
      <c r="G15" s="53">
        <f>IFERROR(AVERAGEIFS(Table1368[[Délai réception d''achat &gt; vente (jours stockés)]:[Délai réception d''achat &gt; vente (jours stockés)]],Table1368[[Date revente]:[Date revente]],"&gt;="&amp;G$2,Table1368[[Date revente]:[Date revente]],"&lt;"&amp;EDATE(G$2,1)),"-")</f>
        <v>25.517241379310345</v>
      </c>
      <c r="H15" s="32">
        <f>IFERROR(AVERAGEIFS(Table1368[[Délai réception d''achat &gt; vente (jours stockés)]:[Délai réception d''achat &gt; vente (jours stockés)]],Table1368[[Date revente]:[Date revente]],"&gt;="&amp;H$2,Table1368[[Date revente]:[Date revente]],"&lt;"&amp;EDATE(H$2,1)),"-")</f>
        <v>29.294117647058822</v>
      </c>
      <c r="I15" s="32">
        <f>IFERROR(AVERAGEIFS(Table1368[[Délai réception d''achat &gt; vente (jours stockés)]:[Délai réception d''achat &gt; vente (jours stockés)]],Table1368[[Date revente]:[Date revente]],"&gt;="&amp;I$2,Table1368[[Date revente]:[Date revente]],"&lt;"&amp;EDATE(I$2,1)),"-")</f>
        <v>34.5</v>
      </c>
      <c r="J15" s="32">
        <f>IFERROR(AVERAGEIFS(Table1368[[Délai réception d''achat &gt; vente (jours stockés)]:[Délai réception d''achat &gt; vente (jours stockés)]],Table1368[[Date revente]:[Date revente]],"&gt;="&amp;J$2,Table1368[[Date revente]:[Date revente]],"&lt;"&amp;EDATE(J$2,1)),"-")</f>
        <v>41.916666666666664</v>
      </c>
      <c r="K15" s="32">
        <f>IFERROR(AVERAGEIFS(Table1368[[Délai réception d''achat &gt; vente (jours stockés)]:[Délai réception d''achat &gt; vente (jours stockés)]],Table1368[[Date revente]:[Date revente]],"&gt;="&amp;K$2,Table1368[[Date revente]:[Date revente]],"&lt;"&amp;EDATE(K$2,1)),"-")</f>
        <v>23.655172413793103</v>
      </c>
      <c r="L15" s="32">
        <f>IFERROR(AVERAGEIFS(Table1368[[Délai réception d''achat &gt; vente (jours stockés)]:[Délai réception d''achat &gt; vente (jours stockés)]],Table1368[[Date revente]:[Date revente]],"&gt;="&amp;L$2,Table1368[[Date revente]:[Date revente]],"&lt;"&amp;EDATE(L$2,1)),"-")</f>
        <v>30.818181818181817</v>
      </c>
      <c r="M15" s="32">
        <f>IFERROR(AVERAGEIFS(Table1368[[Délai réception d''achat &gt; vente (jours stockés)]:[Délai réception d''achat &gt; vente (jours stockés)]],Table1368[[Date revente]:[Date revente]],"&gt;="&amp;M$2,Table1368[[Date revente]:[Date revente]],"&lt;"&amp;EDATE(M$2,1)),"-")</f>
        <v>28.625</v>
      </c>
      <c r="N15" s="32">
        <f>IFERROR(AVERAGEIFS(Table1368[[Délai réception d''achat &gt; vente (jours stockés)]:[Délai réception d''achat &gt; vente (jours stockés)]],Table1368[[Date revente]:[Date revente]],"&gt;="&amp;N$2,Table1368[[Date revente]:[Date revente]],"&lt;"&amp;EDATE(N$2,1)),"-")</f>
        <v>49.07142857142857</v>
      </c>
      <c r="O15" s="32">
        <f>IFERROR(AVERAGEIFS(Table1368[[Délai réception d''achat &gt; vente (jours stockés)]:[Délai réception d''achat &gt; vente (jours stockés)]],Table1368[[Date revente]:[Date revente]],"&gt;="&amp;O$2,Table1368[[Date revente]:[Date revente]],"&lt;"&amp;EDATE(O$2,1)),"-")</f>
        <v>79.94444444444444</v>
      </c>
      <c r="P15" s="32">
        <f>IFERROR(AVERAGEIFS(Table1368[[Délai réception d''achat &gt; vente (jours stockés)]:[Délai réception d''achat &gt; vente (jours stockés)]],Table1368[[Date revente]:[Date revente]],"&gt;="&amp;P$2,Table1368[[Date revente]:[Date revente]],"&lt;"&amp;EDATE(P$2,1)),"-")</f>
        <v>47.57142857142857</v>
      </c>
      <c r="Q15" s="32" t="str">
        <f>IFERROR(AVERAGEIFS(Table1368[[Délai réception d''achat &gt; vente (jours stockés)]:[Délai réception d''achat &gt; vente (jours stockés)]],Table1368[[Date revente]:[Date revente]],"&gt;="&amp;Q$2,Table1368[[Date revente]:[Date revente]],"&lt;"&amp;EDATE(Q$2,1)),"-")</f>
        <v>-</v>
      </c>
      <c r="R15" s="52" t="str">
        <f>IFERROR(AVERAGEIFS(Table1368[[Délai réception d''achat &gt; vente (jours stockés)]:[Délai réception d''achat &gt; vente (jours stockés)]],Table1368[[Date revente]:[Date revente]],"&gt;="&amp;R$2,Table1368[[Date revente]:[Date revente]],"&lt;"&amp;EDATE(R$2,1)),"-")</f>
        <v>-</v>
      </c>
    </row>
    <row r="16" ht="15.6" customHeight="1" spans="1:18" s="2" customFormat="1" x14ac:dyDescent="0.25">
      <c r="A16" s="43" t="s">
        <v>35</v>
      </c>
      <c r="B16" s="44" t="s">
        <v>36</v>
      </c>
      <c r="C16" s="22">
        <f>SUMIFS(Table1368[Prix total Achat],Table1368[Statut],"Listé")+SUMIFS(Table1368[Prix total Achat],Table1368[Statut],"Acheté (reçu)")</f>
        <v>3454.1235772501987</v>
      </c>
      <c r="D16" s="54"/>
      <c r="E16" s="55"/>
      <c r="F16" s="56"/>
      <c r="G16" s="22">
        <v>653.5411695238096</v>
      </c>
      <c r="H16" s="22">
        <v>1313.9301606468043</v>
      </c>
      <c r="I16" s="22">
        <v>1180.0345798164249</v>
      </c>
      <c r="J16" s="22">
        <v>1728.7056559845687</v>
      </c>
      <c r="K16" s="22">
        <v>2036.2392752955689</v>
      </c>
      <c r="L16" s="22">
        <v>2153.811882773236</v>
      </c>
      <c r="M16" s="22">
        <v>3119.8653361816055</v>
      </c>
      <c r="N16" s="22">
        <v>2935.075505638188</v>
      </c>
      <c r="O16" s="22">
        <v>3153.4015207936154</v>
      </c>
      <c r="P16" s="54"/>
      <c r="Q16" s="54"/>
      <c r="R16" s="54"/>
    </row>
    <row r="17" ht="15.6" customHeight="1" spans="1:18" s="2" customFormat="1" x14ac:dyDescent="0.25">
      <c r="A17" s="43" t="s">
        <v>35</v>
      </c>
      <c r="B17" s="44" t="s">
        <v>37</v>
      </c>
      <c r="C17" s="22">
        <f>SUMIFS(Table1368[Prix total Achat],Table1368[Statut],"Acheté (en attente)")</f>
        <v>630.2963040000001</v>
      </c>
      <c r="D17" s="54"/>
      <c r="E17" s="55"/>
      <c r="F17" s="56"/>
      <c r="G17" s="22">
        <v>609.7245000000001</v>
      </c>
      <c r="H17" s="22">
        <v>0</v>
      </c>
      <c r="I17" s="22">
        <v>325.966</v>
      </c>
      <c r="J17" s="22">
        <v>758.9448080000002</v>
      </c>
      <c r="K17" s="22">
        <v>2006.054295999999</v>
      </c>
      <c r="L17" s="22">
        <v>2941.315697999998</v>
      </c>
      <c r="M17" s="22">
        <v>2517.1719819999994</v>
      </c>
      <c r="N17" s="22">
        <v>2298.894702</v>
      </c>
      <c r="O17" s="22">
        <v>1351.0848092</v>
      </c>
      <c r="P17" s="54"/>
      <c r="Q17" s="54"/>
      <c r="R17" s="54"/>
    </row>
    <row r="18" ht="15.6" customHeight="1" spans="1:18" s="2" customFormat="1" x14ac:dyDescent="0.25">
      <c r="A18" s="43" t="s">
        <v>35</v>
      </c>
      <c r="B18" s="44" t="s">
        <v>38</v>
      </c>
      <c r="C18" s="22">
        <f>SUMIFS(Table1368[Prix total Achat],Table1368[Statut],"Listé")+SUMIFS(Table1368[Prix total Achat],Table1368[Statut],"Acheté (reçu)")+SUMIFS(Table1368[Prix total Achat],Table1368[Statut],"Acheté (en attente)")</f>
        <v>4084.4198812501986</v>
      </c>
      <c r="D18" s="54"/>
      <c r="E18" s="55"/>
      <c r="F18" s="56"/>
      <c r="G18" s="22">
        <v>1263.2656695238097</v>
      </c>
      <c r="H18" s="22">
        <v>1313.9301606468043</v>
      </c>
      <c r="I18" s="22">
        <v>1506.0005798164248</v>
      </c>
      <c r="J18" s="22">
        <v>2487.650463984569</v>
      </c>
      <c r="K18" s="22">
        <v>4042.2935712955677</v>
      </c>
      <c r="L18" s="22">
        <v>5095.1275807732345</v>
      </c>
      <c r="M18" s="22">
        <v>5637.037318181605</v>
      </c>
      <c r="N18" s="22">
        <v>5233.970207638188</v>
      </c>
      <c r="O18" s="22">
        <v>4504.486329993615</v>
      </c>
      <c r="P18" s="54"/>
      <c r="Q18" s="54"/>
      <c r="R18" s="54"/>
    </row>
    <row r="19" ht="15.6" customHeight="1" spans="1:18" x14ac:dyDescent="0.25">
      <c r="A19" s="43" t="s">
        <v>35</v>
      </c>
      <c r="B19" s="44" t="s">
        <v>39</v>
      </c>
      <c r="C19" s="45">
        <f t="array" ref="C19">SUMPRODUCT(--(MONTH(Table1368[Date réception Achat])=MONTH(TODAY())),--(YEAR(Table1368[Date réception Achat])=YEAR(TODAY())))</f>
        <v>30</v>
      </c>
      <c r="D19" s="54">
        <f t="array" ref="D19">SUMPRODUCT(--(MONTH(Table1368[Date réception Achat])=MONTH(EDATE(TODAY(),-1))),--(YEAR(Table1368[Date réception Achat])=YEAR(EDATE(TODAY(),-1))))</f>
        <v>31</v>
      </c>
      <c r="E19" s="55">
        <f t="array" ref="E19">SUMPRODUCT(--(YEAR(Table1368[Date réception Achat])=YEAR(TODAY())))</f>
        <v>320</v>
      </c>
      <c r="F19" s="56">
        <f t="array" ref="F19">SUMPRODUCT(--(YEAR(Table1368[Date réception Achat])=YEAR(TODAY())-1))</f>
        <v>77</v>
      </c>
      <c r="G19" s="54">
        <v>21</v>
      </c>
      <c r="H19" s="54">
        <v>31</v>
      </c>
      <c r="I19" s="45">
        <v>21</v>
      </c>
      <c r="J19" s="54">
        <v>39</v>
      </c>
      <c r="K19" s="54">
        <v>39</v>
      </c>
      <c r="L19" s="45">
        <v>37</v>
      </c>
      <c r="M19" s="54">
        <v>55</v>
      </c>
      <c r="N19" s="45">
        <v>0</v>
      </c>
      <c r="O19" s="54">
        <v>31</v>
      </c>
      <c r="P19" s="54"/>
      <c r="Q19" s="54"/>
      <c r="R19" s="54"/>
    </row>
    <row r="20" ht="15.6" customHeight="1" spans="1:18" x14ac:dyDescent="0.25">
      <c r="A20" s="43" t="s">
        <v>35</v>
      </c>
      <c r="B20" s="44" t="s">
        <v>40</v>
      </c>
      <c r="C20" s="45">
        <f t="array" ref="C20">SUMPRODUCT(--(MONTH(Table1368[Date relisting])=MONTH(TODAY())),--(YEAR(Table1368[Date relisting])=YEAR(TODAY())))</f>
        <v>18</v>
      </c>
      <c r="D20" s="54">
        <f t="array" ref="D20">SUMPRODUCT(--(MONTH(Table1368[Date relisting])=MONTH(EDATE(TODAY(),-1))),--(YEAR(Table1368[Date relisting])=YEAR(EDATE(TODAY(),-1))))</f>
        <v>58</v>
      </c>
      <c r="E20" s="55">
        <f t="array" ref="E20">SUMPRODUCT(--(YEAR(Table1368[Date relisting])=YEAR(TODAY())))</f>
        <v>312</v>
      </c>
      <c r="F20" s="56">
        <f t="array" ref="F20">SUMPRODUCT(--(YEAR(Table1368[Date relisting])=YEAR(TODAY())-1))</f>
        <v>71</v>
      </c>
      <c r="G20" s="54">
        <v>27</v>
      </c>
      <c r="H20" s="54">
        <v>31</v>
      </c>
      <c r="I20" s="45">
        <v>21</v>
      </c>
      <c r="J20" s="54">
        <v>31</v>
      </c>
      <c r="K20" s="54">
        <v>46</v>
      </c>
      <c r="L20" s="45">
        <v>38</v>
      </c>
      <c r="M20" s="54">
        <v>44</v>
      </c>
      <c r="N20" s="45">
        <v>0</v>
      </c>
      <c r="O20" s="54">
        <v>58</v>
      </c>
      <c r="P20" s="54"/>
      <c r="Q20" s="54"/>
      <c r="R20" s="54"/>
    </row>
    <row r="21" ht="15.6" customHeight="1" spans="1:18" s="2" customFormat="1" x14ac:dyDescent="0.25">
      <c r="A21" s="43" t="s">
        <v>35</v>
      </c>
      <c r="B21" s="44" t="s">
        <v>41</v>
      </c>
      <c r="C21" s="55">
        <f>COUNTIFS(Table1368[Statut],"Acheté (reçu)")+COUNTIFS(Table1368[Statut],"Listé")</f>
        <v>106</v>
      </c>
      <c r="D21" s="55"/>
      <c r="E21" s="55"/>
      <c r="F21" s="57"/>
      <c r="G21" s="55">
        <v>20</v>
      </c>
      <c r="H21" s="55">
        <v>32</v>
      </c>
      <c r="I21" s="55">
        <v>31</v>
      </c>
      <c r="J21" s="55">
        <v>44</v>
      </c>
      <c r="K21" s="55">
        <v>56</v>
      </c>
      <c r="L21" s="55">
        <v>60</v>
      </c>
      <c r="M21" s="55">
        <v>91</v>
      </c>
      <c r="N21" s="55">
        <v>83</v>
      </c>
      <c r="O21" s="55">
        <v>91</v>
      </c>
      <c r="P21" s="55"/>
      <c r="Q21" s="55"/>
      <c r="R21" s="55"/>
    </row>
    <row r="22" ht="15.6" customHeight="1" spans="1:18" s="2" customFormat="1" x14ac:dyDescent="0.25">
      <c r="A22" s="43" t="s">
        <v>35</v>
      </c>
      <c r="B22" s="44" t="s">
        <v>42</v>
      </c>
      <c r="C22" s="46">
        <f>COUNTIFS(Table1368[Statut],"Acheté (en attente)")</f>
        <v>16</v>
      </c>
      <c r="D22" s="55"/>
      <c r="E22" s="55"/>
      <c r="F22" s="57"/>
      <c r="G22" s="46">
        <v>17</v>
      </c>
      <c r="H22" s="46">
        <v>0</v>
      </c>
      <c r="I22" s="46">
        <v>9</v>
      </c>
      <c r="J22" s="46">
        <v>24</v>
      </c>
      <c r="K22" s="46">
        <v>55</v>
      </c>
      <c r="L22" s="46">
        <v>71</v>
      </c>
      <c r="M22" s="46">
        <v>62</v>
      </c>
      <c r="N22" s="46">
        <v>58</v>
      </c>
      <c r="O22" s="46">
        <v>42</v>
      </c>
      <c r="P22" s="55"/>
      <c r="Q22" s="55"/>
      <c r="R22" s="55"/>
    </row>
    <row r="23" ht="16.2" customHeight="1" spans="1:18" s="2" customFormat="1" x14ac:dyDescent="0.25">
      <c r="A23" s="43" t="s">
        <v>35</v>
      </c>
      <c r="B23" s="44" t="s">
        <v>43</v>
      </c>
      <c r="C23" s="55">
        <f>COUNTIFS(Table1368[Statut],"Acheté (reçu)")+COUNTIFS(Table1368[Statut],"Listé")+COUNTIFS(Table1368[Statut],"Acheté (en attente)")</f>
        <v>122</v>
      </c>
      <c r="D23" s="55" t="s">
        <v>29</v>
      </c>
      <c r="E23" s="55" t="s">
        <v>29</v>
      </c>
      <c r="F23" s="57" t="s">
        <v>29</v>
      </c>
      <c r="G23" s="55">
        <v>37</v>
      </c>
      <c r="H23" s="55">
        <v>32</v>
      </c>
      <c r="I23" s="55">
        <v>40</v>
      </c>
      <c r="J23" s="55">
        <v>68</v>
      </c>
      <c r="K23" s="55">
        <v>111</v>
      </c>
      <c r="L23" s="55">
        <v>131</v>
      </c>
      <c r="M23" s="55">
        <v>153</v>
      </c>
      <c r="N23" s="55">
        <v>141</v>
      </c>
      <c r="O23" s="55">
        <v>133</v>
      </c>
      <c r="P23" s="55"/>
      <c r="Q23" s="55"/>
      <c r="R23" s="55"/>
    </row>
    <row r="24" ht="15.6" customHeight="1" spans="1:18" s="58" customFormat="1" x14ac:dyDescent="0.25">
      <c r="A24" s="59" t="s">
        <v>44</v>
      </c>
      <c r="B24" s="60" t="s">
        <v>45</v>
      </c>
      <c r="C24" s="61">
        <v>7600</v>
      </c>
      <c r="D24" s="61">
        <v>7600</v>
      </c>
      <c r="E24" s="62">
        <v>91200</v>
      </c>
      <c r="F24" s="63"/>
      <c r="G24" s="61">
        <v>7600</v>
      </c>
      <c r="H24" s="61">
        <v>7600</v>
      </c>
      <c r="I24" s="61">
        <v>7600</v>
      </c>
      <c r="J24" s="61">
        <v>7600</v>
      </c>
      <c r="K24" s="61">
        <v>7600</v>
      </c>
      <c r="L24" s="61">
        <v>7600</v>
      </c>
      <c r="M24" s="61">
        <v>7600</v>
      </c>
      <c r="N24" s="61">
        <v>7600</v>
      </c>
      <c r="O24" s="61">
        <v>7600</v>
      </c>
      <c r="P24" s="61">
        <v>7600</v>
      </c>
      <c r="Q24" s="61">
        <v>7600</v>
      </c>
      <c r="R24" s="63">
        <v>7600</v>
      </c>
    </row>
    <row r="25" ht="15.6" customHeight="1" spans="1:18" s="58" customFormat="1" x14ac:dyDescent="0.25">
      <c r="A25" s="64" t="s">
        <v>44</v>
      </c>
      <c r="B25" s="65" t="s">
        <v>46</v>
      </c>
      <c r="C25" s="66">
        <f>SUMIFS(Table1368[Prix de revente],Table1368[Date revente],"&gt;="&amp;EOMONTH(TODAY(),-1)+1,Table1368[Date revente],"&lt;"&amp;EOMONTH(TODAY(),0)+1)</f>
        <v>1362</v>
      </c>
      <c r="D25" s="66">
        <f>SUMIFS(Table1368[Bénéfice],Table1368[Date revente],"&gt;="&amp;EOMONTH(TODAY(),-2)+1,Table1368[Date revente],"&lt;"&amp;EOMONTH(TODAY(),-1)+1)</f>
        <v>2060.467169155428</v>
      </c>
      <c r="E25" s="67">
        <f>SUMIFS(Table1368[Prix de revente],Table1368[Date revente],"&gt;="&amp;DATE(YEAR(TODAY()),1,1),Table1368[Date revente],"&lt;"&amp;DATE(YEAR(TODAY())+1,1,1))</f>
        <v>19298.38</v>
      </c>
      <c r="F25" s="68"/>
      <c r="G25" s="66">
        <f>IF(SUMIFS(Table1368[[Prix de revente]:[Prix de revente]],Table1368[[Date revente]:[Date revente]],"&gt;="&amp;G$2,Table1368[[Date revente]:[Date revente]],"&lt;"&amp;EDATE(G$2,1))=0,"-",SUMIFS(Table1368[[Prix de revente]:[Prix de revente]],Table1368[[Date revente]:[Date revente]],"&gt;="&amp;G$2,Table1368[[Date revente]:[Date revente]],"&lt;"&amp;EDATE(G$2,1)))</f>
        <v>1378.5</v>
      </c>
      <c r="H25" s="66">
        <f>IF(SUMIFS(Table1368[[Prix de revente]:[Prix de revente]],Table1368[[Date revente]:[Date revente]],"&gt;="&amp;H$2,Table1368[[Date revente]:[Date revente]],"&lt;"&amp;EDATE(H$2,1))=0,"-",SUMIFS(Table1368[[Prix de revente]:[Prix de revente]],Table1368[[Date revente]:[Date revente]],"&gt;="&amp;H$2,Table1368[[Date revente]:[Date revente]],"&lt;"&amp;EDATE(H$2,1)))</f>
        <v>1448.6</v>
      </c>
      <c r="I25" s="66">
        <f>IF(SUMIFS(Table1368[[Prix de revente]:[Prix de revente]],Table1368[[Date revente]:[Date revente]],"&gt;="&amp;I$2,Table1368[[Date revente]:[Date revente]],"&lt;"&amp;EDATE(I$2,1))=0,"-",SUMIFS(Table1368[[Prix de revente]:[Prix de revente]],Table1368[[Date revente]:[Date revente]],"&gt;="&amp;I$2,Table1368[[Date revente]:[Date revente]],"&lt;"&amp;EDATE(I$2,1)))</f>
        <v>1728.6</v>
      </c>
      <c r="J25" s="66">
        <f>IF(SUMIFS(Table1368[[Prix de revente]:[Prix de revente]],Table1368[[Date revente]:[Date revente]],"&gt;="&amp;J$2,Table1368[[Date revente]:[Date revente]],"&lt;"&amp;EDATE(J$2,1))=0,"-",SUMIFS(Table1368[[Prix de revente]:[Prix de revente]],Table1368[[Date revente]:[Date revente]],"&gt;="&amp;J$2,Table1368[[Date revente]:[Date revente]],"&lt;"&amp;EDATE(J$2,1)))</f>
        <v>2089.8999999999996</v>
      </c>
      <c r="K25" s="66">
        <f>IF(SUMIFS(Table1368[[Prix de revente]:[Prix de revente]],Table1368[[Date revente]:[Date revente]],"&gt;="&amp;K$2,Table1368[[Date revente]:[Date revente]],"&lt;"&amp;EDATE(K$2,1))=0,"-",SUMIFS(Table1368[[Prix de revente]:[Prix de revente]],Table1368[[Date revente]:[Date revente]],"&gt;="&amp;K$2,Table1368[[Date revente]:[Date revente]],"&lt;"&amp;EDATE(K$2,1)))</f>
        <v>2418.1</v>
      </c>
      <c r="L25" s="66">
        <f>IF(SUMIFS(Table1368[[Prix de revente]:[Prix de revente]],Table1368[[Date revente]:[Date revente]],"&gt;="&amp;L$2,Table1368[[Date revente]:[Date revente]],"&lt;"&amp;EDATE(L$2,1))=0,"-",SUMIFS(Table1368[[Prix de revente]:[Prix de revente]],Table1368[[Date revente]:[Date revente]],"&gt;="&amp;L$2,Table1368[[Date revente]:[Date revente]],"&lt;"&amp;EDATE(L$2,1)))</f>
        <v>2631.88</v>
      </c>
      <c r="M25" s="66">
        <f>IF(SUMIFS(Table1368[[Prix de revente]:[Prix de revente]],Table1368[[Date revente]:[Date revente]],"&gt;="&amp;M$2,Table1368[[Date revente]:[Date revente]],"&lt;"&amp;EDATE(M$2,1))=0,"-",SUMIFS(Table1368[[Prix de revente]:[Prix de revente]],Table1368[[Date revente]:[Date revente]],"&gt;="&amp;M$2,Table1368[[Date revente]:[Date revente]],"&lt;"&amp;EDATE(M$2,1)))</f>
        <v>1745.6999999999998</v>
      </c>
      <c r="N25" s="66">
        <f>IF(SUMIFS(Table1368[[Prix de revente]:[Prix de revente]],Table1368[[Date revente]:[Date revente]],"&gt;="&amp;N$2,Table1368[[Date revente]:[Date revente]],"&lt;"&amp;EDATE(N$2,1))=0,"-",SUMIFS(Table1368[[Prix de revente]:[Prix de revente]],Table1368[[Date revente]:[Date revente]],"&gt;="&amp;N$2,Table1368[[Date revente]:[Date revente]],"&lt;"&amp;EDATE(N$2,1)))</f>
        <v>971.0999999999999</v>
      </c>
      <c r="O25" s="66">
        <f>IF(SUMIFS(Table1368[[Prix de revente]:[Prix de revente]],Table1368[[Date revente]:[Date revente]],"&gt;="&amp;O$2,Table1368[[Date revente]:[Date revente]],"&lt;"&amp;EDATE(O$2,1))=0,"-",SUMIFS(Table1368[[Prix de revente]:[Prix de revente]],Table1368[[Date revente]:[Date revente]],"&gt;="&amp;O$2,Table1368[[Date revente]:[Date revente]],"&lt;"&amp;EDATE(O$2,1)))</f>
        <v>3523.9999999999995</v>
      </c>
      <c r="P25" s="66">
        <f>IF(SUMIFS(Table1368[[Prix de revente]:[Prix de revente]],Table1368[[Date revente]:[Date revente]],"&gt;="&amp;P$2,Table1368[[Date revente]:[Date revente]],"&lt;"&amp;EDATE(P$2,1))=0,"-",SUMIFS(Table1368[[Prix de revente]:[Prix de revente]],Table1368[[Date revente]:[Date revente]],"&gt;="&amp;P$2,Table1368[[Date revente]:[Date revente]],"&lt;"&amp;EDATE(P$2,1)))</f>
        <v>1362</v>
      </c>
      <c r="Q25" s="66" t="str">
        <f>IF(SUMIFS(Table1368[[Prix de revente]:[Prix de revente]],Table1368[[Date revente]:[Date revente]],"&gt;="&amp;Q$2,Table1368[[Date revente]:[Date revente]],"&lt;"&amp;EDATE(Q$2,1))=0,"-",SUMIFS(Table1368[[Prix de revente]:[Prix de revente]],Table1368[[Date revente]:[Date revente]],"&gt;="&amp;Q$2,Table1368[[Date revente]:[Date revente]],"&lt;"&amp;EDATE(Q$2,1)))</f>
        <v>-</v>
      </c>
      <c r="R25" s="68" t="str">
        <f>IF(SUMIFS(Table1368[[Prix de revente]:[Prix de revente]],Table1368[[Date revente]:[Date revente]],"&gt;="&amp;R$2,Table1368[[Date revente]:[Date revente]],"&lt;"&amp;EDATE(R$2,1))=0,"-",SUMIFS(Table1368[[Prix de revente]:[Prix de revente]],Table1368[[Date revente]:[Date revente]],"&gt;="&amp;R$2,Table1368[[Date revente]:[Date revente]],"&lt;"&amp;EDATE(R$2,1)))</f>
        <v>-</v>
      </c>
    </row>
    <row r="26" ht="16.2" customHeight="1" spans="1:18" s="58" customFormat="1" x14ac:dyDescent="0.25">
      <c r="A26" s="69" t="s">
        <v>44</v>
      </c>
      <c r="B26" s="70" t="s">
        <v>47</v>
      </c>
      <c r="C26" s="71">
        <f>C3/C24</f>
        <v>0.1792105263157895</v>
      </c>
      <c r="D26" s="71">
        <f t="shared" ref="D26:G26" si="0">D3/D24</f>
        <v>0.46368421052631575</v>
      </c>
      <c r="E26" s="72">
        <f>E3/E24</f>
        <v>0.21160504385964912</v>
      </c>
      <c r="F26" s="73"/>
      <c r="G26" s="71">
        <f t="shared" si="0"/>
        <v>0.18138157894736842</v>
      </c>
      <c r="H26" s="71">
        <f t="shared" ref="H26" si="1">H3/H24</f>
        <v>0.19060526315789472</v>
      </c>
      <c r="I26" s="71">
        <f t="shared" ref="I26" si="2">I3/I24</f>
        <v>0.22744736842105262</v>
      </c>
      <c r="J26" s="71">
        <v>0.30722368421052626</v>
      </c>
      <c r="K26" s="71">
        <f t="shared" ref="K26" si="3">K3/K24</f>
        <v>0.3181710526315789</v>
      </c>
      <c r="L26" s="71">
        <f t="shared" ref="L26" si="4">L3/L24</f>
        <v>0.3463</v>
      </c>
      <c r="M26" s="71">
        <f t="shared" ref="M26" si="5">M3/M24</f>
        <v>0.2296973684210526</v>
      </c>
      <c r="N26" s="71">
        <f t="shared" ref="N26" si="6">N3/N24</f>
        <v>0.12777631578947368</v>
      </c>
      <c r="O26" s="71">
        <f t="shared" ref="O26" si="7">O3/O24</f>
        <v>0.46368421052631575</v>
      </c>
      <c r="P26" s="71">
        <f t="shared" ref="P26" si="8">P3/P24</f>
        <v>0.1792105263157895</v>
      </c>
      <c r="Q26" s="71" t="e">
        <f t="shared" ref="Q26" si="9">Q3/Q24</f>
        <v>#VALUE!</v>
      </c>
      <c r="R26" s="74" t="e">
        <f t="shared" ref="R26" si="10">R3/R24</f>
        <v>#VALUE!</v>
      </c>
    </row>
    <row r="27" ht="16.2" customHeight="1" spans="1:18" s="75" customFormat="1" x14ac:dyDescent="0.25">
      <c r="A27" s="76" t="s">
        <v>44</v>
      </c>
      <c r="B27" s="77" t="s">
        <v>48</v>
      </c>
      <c r="C27" s="78">
        <v>4145</v>
      </c>
      <c r="D27" s="78">
        <v>4145</v>
      </c>
      <c r="E27" s="79">
        <v>49740</v>
      </c>
      <c r="F27" s="80"/>
      <c r="G27" s="78">
        <v>4145</v>
      </c>
      <c r="H27" s="78">
        <v>4145</v>
      </c>
      <c r="I27" s="78">
        <v>4145</v>
      </c>
      <c r="J27" s="78">
        <v>4145</v>
      </c>
      <c r="K27" s="78">
        <v>4145</v>
      </c>
      <c r="L27" s="78">
        <v>4145</v>
      </c>
      <c r="M27" s="78">
        <v>4145</v>
      </c>
      <c r="N27" s="78">
        <v>4145</v>
      </c>
      <c r="O27" s="78">
        <v>4145</v>
      </c>
      <c r="P27" s="78">
        <v>4145</v>
      </c>
      <c r="Q27" s="78">
        <v>4145</v>
      </c>
      <c r="R27" s="81">
        <v>4145</v>
      </c>
    </row>
    <row r="28" ht="15.6" customHeight="1" spans="1:18" s="75" customFormat="1" x14ac:dyDescent="0.25">
      <c r="A28" s="64" t="s">
        <v>44</v>
      </c>
      <c r="B28" s="65" t="s">
        <v>49</v>
      </c>
      <c r="C28" s="66">
        <f>SUMIFS(Table1368[Bénéfice],Table1368[Date revente],"&gt;="&amp;EOMONTH(TODAY(),-1)+1,Table1368[Date revente],"&lt;"&amp;EOMONTH(TODAY(),0)+1)</f>
        <v>858.9435512565827</v>
      </c>
      <c r="D28" s="66">
        <f>SUMIFS(Table1368[Bénéfice],Table1368[Date revente],"&gt;="&amp;EOMONTH(TODAY(),-2)+1,Table1368[Date revente],"&lt;"&amp;EOMONTH(TODAY(),-1)+1)</f>
        <v>2060.467169155428</v>
      </c>
      <c r="E28" s="67">
        <f>SUMIFS(Table1368[Bénéfice],Table1368[Date revente],"&gt;="&amp;DATE(YEAR(TODAY()),1,1),Table1368[Date revente],"&lt;"&amp;DATE(YEAR(TODAY())+1,1,1))</f>
        <v>10901.953338077172</v>
      </c>
      <c r="F28" s="82"/>
      <c r="G28" s="66">
        <f>IF(SUMIFS(Table1368[[Bénéfice]:[Bénéfice]],Table1368[[Date revente]:[Date revente]],"&gt;="&amp;G$2,Table1368[[Date revente]:[Date revente]],"&lt;"&amp;EDATE(G$2,1))=0,"-",SUMIFS(Table1368[[Bénéfice]:[Bénéfice]],Table1368[[Date revente]:[Date revente]],"&gt;="&amp;G$2,Table1368[[Date revente]:[Date revente]],"&lt;"&amp;EDATE(G$2,1)))</f>
        <v>753.3815923809525</v>
      </c>
      <c r="H28" s="66">
        <f>IF(SUMIFS(Table1368[[Bénéfice]:[Bénéfice]],Table1368[[Date revente]:[Date revente]],"&gt;="&amp;H$2,Table1368[[Date revente]:[Date revente]],"&lt;"&amp;EDATE(H$2,1))=0,"-",SUMIFS(Table1368[[Bénéfice]:[Bénéfice]],Table1368[[Date revente]:[Date revente]],"&gt;="&amp;H$2,Table1368[[Date revente]:[Date revente]],"&lt;"&amp;EDATE(H$2,1)))</f>
        <v>715.5899911229947</v>
      </c>
      <c r="I28" s="66">
        <f>IF(SUMIFS(Table1368[[Bénéfice]:[Bénéfice]],Table1368[[Date revente]:[Date revente]],"&gt;="&amp;I$2,Table1368[[Date revente]:[Date revente]],"&lt;"&amp;EDATE(I$2,1))=0,"-",SUMIFS(Table1368[[Bénéfice]:[Bénéfice]],Table1368[[Date revente]:[Date revente]],"&gt;="&amp;I$2,Table1368[[Date revente]:[Date revente]],"&lt;"&amp;EDATE(I$2,1)))</f>
        <v>951.8867925696206</v>
      </c>
      <c r="J28" s="66">
        <f>IF(SUMIFS(Table1368[[Bénéfice]:[Bénéfice]],Table1368[[Date revente]:[Date revente]],"&gt;="&amp;J$2,Table1368[[Date revente]:[Date revente]],"&lt;"&amp;EDATE(J$2,1))=0,"-",SUMIFS(Table1368[[Bénéfice]:[Bénéfice]],Table1368[[Date revente]:[Date revente]],"&gt;="&amp;J$2,Table1368[[Date revente]:[Date revente]],"&lt;"&amp;EDATE(J$2,1)))</f>
        <v>1193.3313738824295</v>
      </c>
      <c r="K28" s="66">
        <f>IF(SUMIFS(Table1368[[Bénéfice]:[Bénéfice]],Table1368[[Date revente]:[Date revente]],"&gt;="&amp;K$2,Table1368[[Date revente]:[Date revente]],"&lt;"&amp;EDATE(K$2,1))=0,"-",SUMIFS(Table1368[[Bénéfice]:[Bénéfice]],Table1368[[Date revente]:[Date revente]],"&gt;="&amp;K$2,Table1368[[Date revente]:[Date revente]],"&lt;"&amp;EDATE(K$2,1)))</f>
        <v>1354.867463311001</v>
      </c>
      <c r="L28" s="66">
        <f>IF(SUMIFS(Table1368[[Bénéfice]:[Bénéfice]],Table1368[[Date revente]:[Date revente]],"&gt;="&amp;L$2,Table1368[[Date revente]:[Date revente]],"&lt;"&amp;EDATE(L$2,1))=0,"-",SUMIFS(Table1368[[Bénéfice]:[Bénéfice]],Table1368[[Date revente]:[Date revente]],"&gt;="&amp;L$2,Table1368[[Date revente]:[Date revente]],"&lt;"&amp;EDATE(L$2,1)))</f>
        <v>1499.8118414776675</v>
      </c>
      <c r="M28" s="66">
        <f>IF(SUMIFS(Table1368[[Bénéfice]:[Bénéfice]],Table1368[[Date revente]:[Date revente]],"&gt;="&amp;M$2,Table1368[[Date revente]:[Date revente]],"&lt;"&amp;EDATE(M$2,1))=0,"-",SUMIFS(Table1368[[Bénéfice]:[Bénéfice]],Table1368[[Date revente]:[Date revente]],"&gt;="&amp;M$2,Table1368[[Date revente]:[Date revente]],"&lt;"&amp;EDATE(M$2,1)))</f>
        <v>1022.2706734639253</v>
      </c>
      <c r="N28" s="66">
        <f>IF(SUMIFS(Table1368[[Bénéfice]:[Bénéfice]],Table1368[[Date revente]:[Date revente]],"&gt;="&amp;N$2,Table1368[[Date revente]:[Date revente]],"&lt;"&amp;EDATE(N$2,1))=0,"-",SUMIFS(Table1368[[Bénéfice]:[Bénéfice]],Table1368[[Date revente]:[Date revente]],"&gt;="&amp;N$2,Table1368[[Date revente]:[Date revente]],"&lt;"&amp;EDATE(N$2,1)))</f>
        <v>491.40288945658267</v>
      </c>
      <c r="O28" s="66">
        <f>IF(SUMIFS(Table1368[[Bénéfice]:[Bénéfice]],Table1368[[Date revente]:[Date revente]],"&gt;="&amp;O$2,Table1368[[Date revente]:[Date revente]],"&lt;"&amp;EDATE(O$2,1))=0,"-",SUMIFS(Table1368[[Bénéfice]:[Bénéfice]],Table1368[[Date revente]:[Date revente]],"&gt;="&amp;O$2,Table1368[[Date revente]:[Date revente]],"&lt;"&amp;EDATE(O$2,1)))</f>
        <v>2060.467169155428</v>
      </c>
      <c r="P28" s="66">
        <f>IF(SUMIFS(Table1368[[Bénéfice]:[Bénéfice]],Table1368[[Date revente]:[Date revente]],"&gt;="&amp;P$2,Table1368[[Date revente]:[Date revente]],"&lt;"&amp;EDATE(P$2,1))=0,"-",SUMIFS(Table1368[[Bénéfice]:[Bénéfice]],Table1368[[Date revente]:[Date revente]],"&gt;="&amp;P$2,Table1368[[Date revente]:[Date revente]],"&lt;"&amp;EDATE(P$2,1)))</f>
        <v>858.9435512565827</v>
      </c>
      <c r="Q28" s="66" t="str">
        <f>IF(SUMIFS(Table1368[[Bénéfice]:[Bénéfice]],Table1368[[Date revente]:[Date revente]],"&gt;="&amp;Q$2,Table1368[[Date revente]:[Date revente]],"&lt;"&amp;EDATE(Q$2,1))=0,"-",SUMIFS(Table1368[[Bénéfice]:[Bénéfice]],Table1368[[Date revente]:[Date revente]],"&gt;="&amp;Q$2,Table1368[[Date revente]:[Date revente]],"&lt;"&amp;EDATE(Q$2,1)))</f>
        <v>-</v>
      </c>
      <c r="R28" s="68" t="str">
        <f>IF(SUMIFS(Table1368[[Bénéfice]:[Bénéfice]],Table1368[[Date revente]:[Date revente]],"&gt;="&amp;R$2,Table1368[[Date revente]:[Date revente]],"&lt;"&amp;EDATE(R$2,1))=0,"-",SUMIFS(Table1368[[Bénéfice]:[Bénéfice]],Table1368[[Date revente]:[Date revente]],"&gt;="&amp;R$2,Table1368[[Date revente]:[Date revente]],"&lt;"&amp;EDATE(R$2,1)))</f>
        <v>-</v>
      </c>
    </row>
    <row r="29" ht="16.2" customHeight="1" spans="1:18" s="75" customFormat="1" x14ac:dyDescent="0.25">
      <c r="A29" s="69" t="s">
        <v>44</v>
      </c>
      <c r="B29" s="70" t="s">
        <v>50</v>
      </c>
      <c r="C29" s="71">
        <f>C4/C27</f>
        <v>0.20722401719097291</v>
      </c>
      <c r="D29" s="71">
        <f>D4/D27</f>
        <v>0.49709702512796816</v>
      </c>
      <c r="E29" s="71">
        <f>E4/E27</f>
        <v>0.21917879650336092</v>
      </c>
      <c r="F29" s="73"/>
      <c r="G29" s="71">
        <f t="shared" ref="G29:R29" si="11">G4/G27</f>
        <v>0.18175671710035043</v>
      </c>
      <c r="H29" s="71">
        <f t="shared" si="11"/>
        <v>0.17263932234571644</v>
      </c>
      <c r="I29" s="71">
        <f t="shared" si="11"/>
        <v>0.22964699458856952</v>
      </c>
      <c r="J29" s="71">
        <v>0.3187120091393075</v>
      </c>
      <c r="K29" s="71">
        <f t="shared" si="11"/>
        <v>0.3268679042969846</v>
      </c>
      <c r="L29" s="71">
        <f t="shared" si="11"/>
        <v>0.36183639118882205</v>
      </c>
      <c r="M29" s="71">
        <f t="shared" si="11"/>
        <v>0.24662742423737644</v>
      </c>
      <c r="N29" s="71">
        <f t="shared" si="11"/>
        <v>0.1185531699533372</v>
      </c>
      <c r="O29" s="71">
        <f t="shared" si="11"/>
        <v>0.49709702512796816</v>
      </c>
      <c r="P29" s="71">
        <f t="shared" si="11"/>
        <v>0.20722401719097291</v>
      </c>
      <c r="Q29" s="71" t="e">
        <f t="shared" si="11"/>
        <v>#VALUE!</v>
      </c>
      <c r="R29" s="74" t="e">
        <f t="shared" si="11"/>
        <v>#VALUE!</v>
      </c>
    </row>
    <row r="30" ht="16.2" customHeight="1" spans="1:18" s="75" customFormat="1" x14ac:dyDescent="0.25">
      <c r="A30" s="76" t="s">
        <v>44</v>
      </c>
      <c r="B30" s="77" t="s">
        <v>51</v>
      </c>
      <c r="C30" s="78">
        <v>80</v>
      </c>
      <c r="D30" s="78">
        <v>80</v>
      </c>
      <c r="E30" s="79">
        <v>80</v>
      </c>
      <c r="F30" s="80"/>
      <c r="G30" s="78">
        <v>80</v>
      </c>
      <c r="H30" s="78">
        <v>80</v>
      </c>
      <c r="I30" s="78">
        <v>80</v>
      </c>
      <c r="J30" s="78">
        <v>80</v>
      </c>
      <c r="K30" s="78">
        <v>80</v>
      </c>
      <c r="L30" s="78">
        <v>80</v>
      </c>
      <c r="M30" s="78">
        <v>80</v>
      </c>
      <c r="N30" s="78">
        <v>80</v>
      </c>
      <c r="O30" s="78">
        <v>80</v>
      </c>
      <c r="P30" s="78">
        <v>80</v>
      </c>
      <c r="Q30" s="78">
        <v>80</v>
      </c>
      <c r="R30" s="81">
        <v>80</v>
      </c>
    </row>
    <row r="31" ht="15.6" customHeight="1" spans="1:18" s="75" customFormat="1" x14ac:dyDescent="0.25">
      <c r="A31" s="64" t="s">
        <v>44</v>
      </c>
      <c r="B31" s="65" t="s">
        <v>52</v>
      </c>
      <c r="C31" s="66">
        <f>IFERROR(AVERAGEIFS(Table1368[Prix de revente],Table1368[Date revente],"&gt;="&amp;EOMONTH(TODAY(),-1)+1,Table1368[Date revente],"&lt;"&amp;EOMONTH(TODAY(),0)+1),"-")</f>
        <v>97.28571428571429</v>
      </c>
      <c r="D31" s="66">
        <f>IFERROR(AVERAGEIFS(Table1368[Prix de revente],Table1368[Date revente],"&gt;="&amp;EOMONTH(TODAY(),-2)+1,Table1368[Date revente],"&lt;"&amp;EOMONTH(TODAY(),-1)+1),"-")</f>
        <v>97.88888888888887</v>
      </c>
      <c r="E31" s="67">
        <f>IFERROR(AVERAGEIFS(Table1368[Prix de revente],Table1368[Date revente],"&gt;="&amp;DATE(YEAR(TODAY()),1,1),Table1368[Date revente],"&lt;"&amp;DATE(YEAR(TODAY())+1,1,1)),"-")</f>
        <v>79.74537190082646</v>
      </c>
      <c r="F31" s="82"/>
      <c r="G31" s="66">
        <f>IFERROR(AVERAGEIFS(Table1368[[Prix de revente]:[Prix de revente]],Table1368[[Date revente]:[Date revente]],"&gt;="&amp;G$2,Table1368[[Date revente]:[Date revente]],"&lt;"&amp;EDATE(G$2,1)),"-")</f>
        <v>47.53448275862069</v>
      </c>
      <c r="H31" s="66">
        <f>IFERROR(AVERAGEIFS(Table1368[[Prix de revente]:[Prix de revente]],Table1368[[Date revente]:[Date revente]],"&gt;="&amp;H$2,Table1368[[Date revente]:[Date revente]],"&lt;"&amp;EDATE(H$2,1)),"-")</f>
        <v>85.21176470588235</v>
      </c>
      <c r="I31" s="66">
        <f>IFERROR(AVERAGEIFS(Table1368[[Prix de revente]:[Prix de revente]],Table1368[[Date revente]:[Date revente]],"&gt;="&amp;I$2,Table1368[[Date revente]:[Date revente]],"&lt;"&amp;EDATE(I$2,1)),"-")</f>
        <v>78.57272727272726</v>
      </c>
      <c r="J31" s="66">
        <f>IFERROR(AVERAGEIFS(Table1368[[Prix de revente]:[Prix de revente]],Table1368[[Date revente]:[Date revente]],"&gt;="&amp;J$2,Table1368[[Date revente]:[Date revente]],"&lt;"&amp;EDATE(J$2,1)),"-")</f>
        <v>87.07916666666665</v>
      </c>
      <c r="K31" s="66">
        <f>IFERROR(AVERAGEIFS(Table1368[[Prix de revente]:[Prix de revente]],Table1368[[Date revente]:[Date revente]],"&gt;="&amp;K$2,Table1368[[Date revente]:[Date revente]],"&lt;"&amp;EDATE(K$2,1)),"-")</f>
        <v>83.38275862068966</v>
      </c>
      <c r="L31" s="66">
        <f>IFERROR(AVERAGEIFS(Table1368[[Prix de revente]:[Prix de revente]],Table1368[[Date revente]:[Date revente]],"&gt;="&amp;L$2,Table1368[[Date revente]:[Date revente]],"&lt;"&amp;EDATE(L$2,1)),"-")</f>
        <v>79.75393939393939</v>
      </c>
      <c r="M31" s="66">
        <f>IFERROR(AVERAGEIFS(Table1368[[Prix de revente]:[Prix de revente]],Table1368[[Date revente]:[Date revente]],"&gt;="&amp;M$2,Table1368[[Date revente]:[Date revente]],"&lt;"&amp;EDATE(M$2,1)),"-")</f>
        <v>72.7375</v>
      </c>
      <c r="N31" s="66">
        <f>IFERROR(AVERAGEIFS(Table1368[[Prix de revente]:[Prix de revente]],Table1368[[Date revente]:[Date revente]],"&gt;="&amp;N$2,Table1368[[Date revente]:[Date revente]],"&lt;"&amp;EDATE(N$2,1)),"-")</f>
        <v>69.36428571428571</v>
      </c>
      <c r="O31" s="66">
        <f>IFERROR(AVERAGEIFS(Table1368[[Prix de revente]:[Prix de revente]],Table1368[[Date revente]:[Date revente]],"&gt;="&amp;O$2,Table1368[[Date revente]:[Date revente]],"&lt;"&amp;EDATE(O$2,1)),"-")</f>
        <v>97.88888888888887</v>
      </c>
      <c r="P31" s="66">
        <f>IFERROR(AVERAGEIFS(Table1368[[Prix de revente]:[Prix de revente]],Table1368[[Date revente]:[Date revente]],"&gt;="&amp;P$2,Table1368[[Date revente]:[Date revente]],"&lt;"&amp;EDATE(P$2,1)),"-")</f>
        <v>97.28571428571429</v>
      </c>
      <c r="Q31" s="66" t="str">
        <f>IFERROR(AVERAGEIFS(Table1368[[Prix de revente]:[Prix de revente]],Table1368[[Date revente]:[Date revente]],"&gt;="&amp;Q$2,Table1368[[Date revente]:[Date revente]],"&lt;"&amp;EDATE(Q$2,1)),"-")</f>
        <v>-</v>
      </c>
      <c r="R31" s="68" t="str">
        <f>IFERROR(AVERAGEIFS(Table1368[[Prix de revente]:[Prix de revente]],Table1368[[Date revente]:[Date revente]],"&gt;="&amp;R$2,Table1368[[Date revente]:[Date revente]],"&lt;"&amp;EDATE(R$2,1)),"-")</f>
        <v>-</v>
      </c>
    </row>
    <row r="32" ht="16.2" customHeight="1" spans="1:18" s="75" customFormat="1" x14ac:dyDescent="0.25">
      <c r="A32" s="69" t="s">
        <v>44</v>
      </c>
      <c r="B32" s="70" t="s">
        <v>53</v>
      </c>
      <c r="C32" s="71">
        <f>C7/C30</f>
        <v>1.2160714285714287</v>
      </c>
      <c r="D32" s="71">
        <f t="shared" ref="D32:G32" si="12">D7/D30</f>
        <v>1.223611111111111</v>
      </c>
      <c r="E32" s="72">
        <f t="shared" si="12"/>
        <v>0.9968171487603307</v>
      </c>
      <c r="F32" s="73"/>
      <c r="G32" s="71">
        <f t="shared" si="12"/>
        <v>0.5941810344827586</v>
      </c>
      <c r="H32" s="71">
        <f t="shared" ref="H32" si="13">H7/H30</f>
        <v>1.0651470588235292</v>
      </c>
      <c r="I32" s="71">
        <f t="shared" ref="I32" si="14">I7/I30</f>
        <v>0.9821590909090908</v>
      </c>
      <c r="J32" s="71">
        <v>1.1225480769230767</v>
      </c>
      <c r="K32" s="71">
        <f t="shared" ref="K32" si="15">K7/K30</f>
        <v>1.0422844827586206</v>
      </c>
      <c r="L32" s="71">
        <f t="shared" ref="L32" si="16">L7/L30</f>
        <v>0.9969242424242424</v>
      </c>
      <c r="M32" s="71">
        <f t="shared" ref="M32" si="17">M7/M30</f>
        <v>0.90921875</v>
      </c>
      <c r="N32" s="71">
        <f t="shared" ref="N32" si="18">N7/N30</f>
        <v>0.8670535714285714</v>
      </c>
      <c r="O32" s="71">
        <f t="shared" ref="O32" si="19">O7/O30</f>
        <v>1.223611111111111</v>
      </c>
      <c r="P32" s="71">
        <f t="shared" ref="P32" si="20">P7/P30</f>
        <v>1.2160714285714287</v>
      </c>
      <c r="Q32" s="71" t="e">
        <f t="shared" ref="Q32" si="21">Q7/Q30</f>
        <v>#VALUE!</v>
      </c>
      <c r="R32" s="74" t="e">
        <f t="shared" ref="R32" si="22">R7/R30</f>
        <v>#VALUE!</v>
      </c>
    </row>
    <row r="33" ht="16.2" customHeight="1" spans="1:18" s="75" customFormat="1" x14ac:dyDescent="0.25">
      <c r="A33" s="76" t="s">
        <v>44</v>
      </c>
      <c r="B33" s="77" t="s">
        <v>54</v>
      </c>
      <c r="C33" s="78">
        <v>44</v>
      </c>
      <c r="D33" s="78">
        <v>44</v>
      </c>
      <c r="E33" s="79">
        <v>44</v>
      </c>
      <c r="F33" s="80"/>
      <c r="G33" s="78">
        <v>44</v>
      </c>
      <c r="H33" s="78">
        <v>44</v>
      </c>
      <c r="I33" s="78">
        <v>44</v>
      </c>
      <c r="J33" s="78">
        <v>44</v>
      </c>
      <c r="K33" s="78">
        <v>44</v>
      </c>
      <c r="L33" s="78">
        <v>44</v>
      </c>
      <c r="M33" s="78">
        <v>44</v>
      </c>
      <c r="N33" s="78">
        <v>44</v>
      </c>
      <c r="O33" s="78">
        <v>44</v>
      </c>
      <c r="P33" s="78">
        <v>44</v>
      </c>
      <c r="Q33" s="78">
        <v>44</v>
      </c>
      <c r="R33" s="81">
        <v>44</v>
      </c>
    </row>
    <row r="34" ht="15.6" customHeight="1" spans="1:18" s="75" customFormat="1" x14ac:dyDescent="0.25">
      <c r="A34" s="64" t="s">
        <v>44</v>
      </c>
      <c r="B34" s="65" t="s">
        <v>55</v>
      </c>
      <c r="C34" s="66">
        <f>IFERROR(AVERAGEIFS(Table1368[Bénéfice],Table1368[Date revente],"&gt;="&amp;EOMONTH(TODAY(),-1)+1,Table1368[Date revente],"&lt;"&amp;EOMONTH(TODAY(),0)+1),"-")</f>
        <v>61.35311080404163</v>
      </c>
      <c r="D34" s="66">
        <f>IFERROR(AVERAGEIFS(Table1368[Bénéfice],Table1368[Date revente],"&gt;="&amp;EOMONTH(TODAY(),-2)+1,Table1368[Date revente],"&lt;"&amp;EOMONTH(TODAY(),-1)+1),"-")</f>
        <v>57.23519914320634</v>
      </c>
      <c r="E34" s="67">
        <f>IFERROR(AVERAGEIFS(Table1368[Bénéfice],Table1368[Date revente],"&gt;="&amp;DATE(YEAR(TODAY()),1,1),Table1368[Date revente],"&lt;"&amp;DATE(YEAR(TODAY())+1,1,1)),"-")</f>
        <v>45.049393958996575</v>
      </c>
      <c r="F34" s="82"/>
      <c r="G34" s="66">
        <f>IFERROR(AVERAGEIFS(Table1368[[Bénéfice]:[Bénéfice]],Table1368[[Date revente]:[Date revente]],"&gt;="&amp;G$2,Table1368[[Date revente]:[Date revente]],"&lt;"&amp;EDATE(G$2,1)),"-")</f>
        <v>25.97867559934319</v>
      </c>
      <c r="H34" s="66">
        <f>IFERROR(AVERAGEIFS(Table1368[[Bénéfice]:[Bénéfice]],Table1368[[Date revente]:[Date revente]],"&gt;="&amp;H$2,Table1368[[Date revente]:[Date revente]],"&lt;"&amp;EDATE(H$2,1)),"-")</f>
        <v>42.09352888958792</v>
      </c>
      <c r="I34" s="66">
        <f>IFERROR(AVERAGEIFS(Table1368[[Bénéfice]:[Bénéfice]],Table1368[[Date revente]:[Date revente]],"&gt;="&amp;I$2,Table1368[[Date revente]:[Date revente]],"&lt;"&amp;EDATE(I$2,1)),"-")</f>
        <v>43.2675814804373</v>
      </c>
      <c r="J34" s="66">
        <f>IFERROR(AVERAGEIFS(Table1368[[Bénéfice]:[Bénéfice]],Table1368[[Date revente]:[Date revente]],"&gt;="&amp;J$2,Table1368[[Date revente]:[Date revente]],"&lt;"&amp;EDATE(J$2,1)),"-")</f>
        <v>49.72214057843456</v>
      </c>
      <c r="K34" s="66">
        <f>IFERROR(AVERAGEIFS(Table1368[[Bénéfice]:[Bénéfice]],Table1368[[Date revente]:[Date revente]],"&gt;="&amp;K$2,Table1368[[Date revente]:[Date revente]],"&lt;"&amp;EDATE(K$2,1)),"-")</f>
        <v>46.71956770037935</v>
      </c>
      <c r="L34" s="66">
        <f>IFERROR(AVERAGEIFS(Table1368[[Bénéfice]:[Bénéfice]],Table1368[[Date revente]:[Date revente]],"&gt;="&amp;L$2,Table1368[[Date revente]:[Date revente]],"&lt;"&amp;EDATE(L$2,1)),"-")</f>
        <v>45.44884368114144</v>
      </c>
      <c r="M34" s="66">
        <f>IFERROR(AVERAGEIFS(Table1368[[Bénéfice]:[Bénéfice]],Table1368[[Date revente]:[Date revente]],"&gt;="&amp;M$2,Table1368[[Date revente]:[Date revente]],"&lt;"&amp;EDATE(M$2,1)),"-")</f>
        <v>42.59461139433022</v>
      </c>
      <c r="N34" s="66">
        <f>IFERROR(AVERAGEIFS(Table1368[[Bénéfice]:[Bénéfice]],Table1368[[Date revente]:[Date revente]],"&gt;="&amp;N$2,Table1368[[Date revente]:[Date revente]],"&lt;"&amp;EDATE(N$2,1)),"-")</f>
        <v>35.100206389755904</v>
      </c>
      <c r="O34" s="66">
        <f>IFERROR(AVERAGEIFS(Table1368[[Bénéfice]:[Bénéfice]],Table1368[[Date revente]:[Date revente]],"&gt;="&amp;O$2,Table1368[[Date revente]:[Date revente]],"&lt;"&amp;EDATE(O$2,1)),"-")</f>
        <v>57.23519914320634</v>
      </c>
      <c r="P34" s="66">
        <f>IFERROR(AVERAGEIFS(Table1368[[Bénéfice]:[Bénéfice]],Table1368[[Date revente]:[Date revente]],"&gt;="&amp;P$2,Table1368[[Date revente]:[Date revente]],"&lt;"&amp;EDATE(P$2,1)),"-")</f>
        <v>61.35311080404163</v>
      </c>
      <c r="Q34" s="66" t="str">
        <f>IFERROR(AVERAGEIFS(Table1368[[Bénéfice]:[Bénéfice]],Table1368[[Date revente]:[Date revente]],"&gt;="&amp;Q$2,Table1368[[Date revente]:[Date revente]],"&lt;"&amp;EDATE(Q$2,1)),"-")</f>
        <v>-</v>
      </c>
      <c r="R34" s="68" t="str">
        <f>IFERROR(AVERAGEIFS(Table1368[[Bénéfice]:[Bénéfice]],Table1368[[Date revente]:[Date revente]],"&gt;="&amp;R$2,Table1368[[Date revente]:[Date revente]],"&lt;"&amp;EDATE(R$2,1)),"-")</f>
        <v>-</v>
      </c>
    </row>
    <row r="35" ht="16.2" customHeight="1" spans="1:18" s="75" customFormat="1" x14ac:dyDescent="0.25">
      <c r="A35" s="69" t="s">
        <v>44</v>
      </c>
      <c r="B35" s="70" t="s">
        <v>56</v>
      </c>
      <c r="C35" s="71">
        <f>C5/C33</f>
        <v>1.394388881910037</v>
      </c>
      <c r="D35" s="71">
        <f t="shared" ref="D35:E35" si="23">D5/D33</f>
        <v>1.3007999805274169</v>
      </c>
      <c r="E35" s="72">
        <f t="shared" si="23"/>
        <v>1.0238498627044677</v>
      </c>
      <c r="F35" s="73"/>
      <c r="G35" s="71">
        <f>G5/G33</f>
        <v>0.590424445439618</v>
      </c>
      <c r="H35" s="71">
        <f t="shared" ref="H35:R35" si="24">H5/H33</f>
        <v>0.9566711111269982</v>
      </c>
      <c r="I35" s="71">
        <f t="shared" si="24"/>
        <v>0.9833541245553932</v>
      </c>
      <c r="J35" s="71">
        <v>1.154773844302823</v>
      </c>
      <c r="K35" s="71">
        <f t="shared" si="24"/>
        <v>1.0618083568268035</v>
      </c>
      <c r="L35" s="71">
        <f t="shared" si="24"/>
        <v>1.0329282654804872</v>
      </c>
      <c r="M35" s="71">
        <f t="shared" si="24"/>
        <v>0.9680593498711414</v>
      </c>
      <c r="N35" s="71">
        <f t="shared" si="24"/>
        <v>0.7977319634035432</v>
      </c>
      <c r="O35" s="71">
        <f t="shared" si="24"/>
        <v>1.3007999805274169</v>
      </c>
      <c r="P35" s="71">
        <f t="shared" si="24"/>
        <v>1.394388881910037</v>
      </c>
      <c r="Q35" s="71" t="e">
        <f t="shared" si="24"/>
        <v>#VALUE!</v>
      </c>
      <c r="R35" s="74" t="e">
        <f t="shared" si="24"/>
        <v>#VALUE!</v>
      </c>
    </row>
    <row r="36" ht="16.2" customHeight="1" spans="1:18" s="75" customFormat="1" x14ac:dyDescent="0.25">
      <c r="A36" s="76" t="s">
        <v>44</v>
      </c>
      <c r="B36" s="77" t="s">
        <v>57</v>
      </c>
      <c r="C36" s="83">
        <v>2.2</v>
      </c>
      <c r="D36" s="83">
        <v>2.2</v>
      </c>
      <c r="E36" s="84">
        <v>2.2</v>
      </c>
      <c r="F36" s="80"/>
      <c r="G36" s="83">
        <v>2.2</v>
      </c>
      <c r="H36" s="83">
        <v>2.2</v>
      </c>
      <c r="I36" s="83">
        <v>2.2</v>
      </c>
      <c r="J36" s="83">
        <v>2.2</v>
      </c>
      <c r="K36" s="83">
        <v>2.2</v>
      </c>
      <c r="L36" s="83">
        <v>2.2</v>
      </c>
      <c r="M36" s="83">
        <v>2.2</v>
      </c>
      <c r="N36" s="83">
        <v>2.2</v>
      </c>
      <c r="O36" s="83">
        <v>2.2</v>
      </c>
      <c r="P36" s="83">
        <v>2.2</v>
      </c>
      <c r="Q36" s="83">
        <v>2.2</v>
      </c>
      <c r="R36" s="85">
        <v>2.2</v>
      </c>
    </row>
    <row r="37" ht="15.6" customHeight="1" spans="1:18" s="75" customFormat="1" x14ac:dyDescent="0.25">
      <c r="A37" s="64" t="s">
        <v>44</v>
      </c>
      <c r="B37" s="65" t="s">
        <v>58</v>
      </c>
      <c r="C37" s="86">
        <f>IFERROR(SUMIFS(Table1368[Prix de revente],Table1368[Date revente],"&gt;="&amp;EOMONTH(TODAY(),-1)+1,Table1368[Date revente],"&lt;"&amp;EOMONTH(TODAY(),0)+1)/SUMIFS(Table1368[Prix total Achat],Table1368[Date revente],"&gt;="&amp;EOMONTH(TODAY(),-1)+1,Table1368[Date revente],"&lt;"&amp;EOMONTH(TODAY(),0)+1),"-")</f>
        <v>2.707449637912672</v>
      </c>
      <c r="D37" s="86">
        <f>IFERROR(SUMIFS(Table1368[Prix de revente],Table1368[Date revente],"&gt;="&amp;EOMONTH(TODAY(),-2)+1,Table1368[Date revente],"&lt;"&amp;EOMONTH(TODAY(),-1)+1)/SUMIFS(Table1368[Prix total Achat],Table1368[Date revente],"&gt;="&amp;EOMONTH(TODAY(),-2)+1,Table1368[Date revente],"&lt;"&amp;EOMONTH(TODAY(),-1)+1),"-")</f>
        <v>2.4078721882626835</v>
      </c>
      <c r="E37" s="87">
        <f>IFERROR(SUMIFS(Table1368[Prix de revente],Table1368[Date revente],"&gt;="&amp;DATE(YEAR(TODAY()),1,1),Table1368[Date revente],"&lt;"&amp;DATE(YEAR(TODAY())+1,1,1))/SUMIFS(Table1368[Prix total Achat],Table1368[Date revente],"&gt;="&amp;DATE(YEAR(TODAY()),1,1),Table1368[Date revente],"&lt;"&amp;DATE(YEAR(TODAY())+1,1,1)),"-")</f>
        <v>2.298403925507589</v>
      </c>
      <c r="F37" s="88">
        <f>IFERROR(SUMIFS(Table1368[Prix de revente],Table1368[Date revente],"&gt;="&amp;DATE(YEAR(TODAY())-1,1,1),Table1368[Date revente],"&lt;"&amp;DATE(YEAR(TODAY()),1,1))/SUMIFS(Table1368[Prix total Achat],Table1368[Date revente],"&gt;="&amp;DATE(YEAR(TODAY())-1,1,1),Table1368[Date revente],"&lt;"&amp;DATE(YEAR(TODAY()),1,1)),"-")</f>
        <v>2.0767210139138323</v>
      </c>
      <c r="G37" s="86">
        <f>IFERROR(SUMIFS(Table1368[[Prix de revente]:[Prix de revente]],Table1368[[Date revente]:[Date revente]],"&gt;="&amp;G$2,Table1368[[Date revente]:[Date revente]],"&lt;"&amp;EDATE(G$2,1))/SUMIFS(Table1368[[Prix total Achat]:[Prix total Achat]],Table1368[[Date revente]:[Date revente]],"&gt;="&amp;G$2,Table1368[[Date revente]:[Date revente]],"&lt;"&amp;EDATE(G$2,1)),"-")</f>
        <v>2.2051822233973786</v>
      </c>
      <c r="H37" s="86">
        <f>IFERROR(SUMIFS(Table1368[[Prix de revente]:[Prix de revente]],Table1368[[Date revente]:[Date revente]],"&gt;="&amp;H$2,Table1368[[Date revente]:[Date revente]],"&lt;"&amp;EDATE(H$2,1))/SUMIFS(Table1368[[Prix total Achat]:[Prix total Achat]],Table1368[[Date revente]:[Date revente]],"&gt;="&amp;H$2,Table1368[[Date revente]:[Date revente]],"&lt;"&amp;EDATE(H$2,1)),"-")</f>
        <v>1.9762349523975817</v>
      </c>
      <c r="I37" s="86">
        <f>IFERROR(SUMIFS(Table1368[[Prix de revente]:[Prix de revente]],Table1368[[Date revente]:[Date revente]],"&gt;="&amp;I$2,Table1368[[Date revente]:[Date revente]],"&lt;"&amp;EDATE(I$2,1))/SUMIFS(Table1368[[Prix total Achat]:[Prix total Achat]],Table1368[[Date revente]:[Date revente]],"&gt;="&amp;I$2,Table1368[[Date revente]:[Date revente]],"&lt;"&amp;EDATE(I$2,1)),"-")</f>
        <v>2.225531873880158</v>
      </c>
      <c r="J37" s="86">
        <f>IFERROR(SUMIFS(Table1368[[Prix de revente]:[Prix de revente]],Table1368[[Date revente]:[Date revente]],"&gt;="&amp;J$2,Table1368[[Date revente]:[Date revente]],"&lt;"&amp;EDATE(J$2,1))/SUMIFS(Table1368[[Prix total Achat]:[Prix total Achat]],Table1368[[Date revente]:[Date revente]],"&gt;="&amp;J$2,Table1368[[Date revente]:[Date revente]],"&lt;"&amp;EDATE(J$2,1)),"-")</f>
        <v>2.3309983632261773</v>
      </c>
      <c r="K37" s="86">
        <f>IFERROR(SUMIFS(Table1368[[Prix de revente]:[Prix de revente]],Table1368[[Date revente]:[Date revente]],"&gt;="&amp;K$2,Table1368[[Date revente]:[Date revente]],"&lt;"&amp;EDATE(K$2,1))/SUMIFS(Table1368[[Prix total Achat]:[Prix total Achat]],Table1368[[Date revente]:[Date revente]],"&gt;="&amp;K$2,Table1368[[Date revente]:[Date revente]],"&lt;"&amp;EDATE(K$2,1)),"-")</f>
        <v>2.2742908221471283</v>
      </c>
      <c r="L37" s="86">
        <f>IFERROR(SUMIFS(Table1368[[Prix de revente]:[Prix de revente]],Table1368[[Date revente]:[Date revente]],"&gt;="&amp;L$2,Table1368[[Date revente]:[Date revente]],"&lt;"&amp;EDATE(L$2,1))/SUMIFS(Table1368[[Prix total Achat]:[Prix total Achat]],Table1368[[Date revente]:[Date revente]],"&gt;="&amp;L$2,Table1368[[Date revente]:[Date revente]],"&lt;"&amp;EDATE(L$2,1)),"-")</f>
        <v>2.3248423517496892</v>
      </c>
      <c r="M37" s="86">
        <f>IFERROR(SUMIFS(Table1368[[Prix de revente]:[Prix de revente]],Table1368[[Date revente]:[Date revente]],"&gt;="&amp;M$2,Table1368[[Date revente]:[Date revente]],"&lt;"&amp;EDATE(M$2,1))/SUMIFS(Table1368[[Prix total Achat]:[Prix total Achat]],Table1368[[Date revente]:[Date revente]],"&gt;="&amp;M$2,Table1368[[Date revente]:[Date revente]],"&lt;"&amp;EDATE(M$2,1)),"-")</f>
        <v>2.413089898302524</v>
      </c>
      <c r="N37" s="86">
        <f>IFERROR(SUMIFS(Table1368[[Prix de revente]:[Prix de revente]],Table1368[[Date revente]:[Date revente]],"&gt;="&amp;N$2,Table1368[[Date revente]:[Date revente]],"&lt;"&amp;EDATE(N$2,1))/SUMIFS(Table1368[[Prix total Achat]:[Prix total Achat]],Table1368[[Date revente]:[Date revente]],"&gt;="&amp;N$2,Table1368[[Date revente]:[Date revente]],"&lt;"&amp;EDATE(N$2,1)),"-")</f>
        <v>2.024402437821451</v>
      </c>
      <c r="O37" s="86">
        <f>IFERROR(SUMIFS(Table1368[[Prix de revente]:[Prix de revente]],Table1368[[Date revente]:[Date revente]],"&gt;="&amp;O$2,Table1368[[Date revente]:[Date revente]],"&lt;"&amp;EDATE(O$2,1))/SUMIFS(Table1368[[Prix total Achat]:[Prix total Achat]],Table1368[[Date revente]:[Date revente]],"&gt;="&amp;O$2,Table1368[[Date revente]:[Date revente]],"&lt;"&amp;EDATE(O$2,1)),"-")</f>
        <v>2.4078721882626835</v>
      </c>
      <c r="P37" s="86">
        <f>IFERROR(SUMIFS(Table1368[[Prix de revente]:[Prix de revente]],Table1368[[Date revente]:[Date revente]],"&gt;="&amp;P$2,Table1368[[Date revente]:[Date revente]],"&lt;"&amp;EDATE(P$2,1))/SUMIFS(Table1368[[Prix total Achat]:[Prix total Achat]],Table1368[[Date revente]:[Date revente]],"&gt;="&amp;P$2,Table1368[[Date revente]:[Date revente]],"&lt;"&amp;EDATE(P$2,1)),"-")</f>
        <v>2.707449637912672</v>
      </c>
      <c r="Q37" s="86" t="str">
        <f>IFERROR(SUMIFS(Table1368[[Prix de revente]:[Prix de revente]],Table1368[[Date revente]:[Date revente]],"&gt;="&amp;Q$2,Table1368[[Date revente]:[Date revente]],"&lt;"&amp;EDATE(Q$2,1))/SUMIFS(Table1368[[Prix total Achat]:[Prix total Achat]],Table1368[[Date revente]:[Date revente]],"&gt;="&amp;Q$2,Table1368[[Date revente]:[Date revente]],"&lt;"&amp;EDATE(Q$2,1)),"-")</f>
        <v>-</v>
      </c>
      <c r="R37" s="88" t="str">
        <f>IFERROR(SUMIFS(Table1368[[Prix de revente]:[Prix de revente]],Table1368[[Date revente]:[Date revente]],"&gt;="&amp;R$2,Table1368[[Date revente]:[Date revente]],"&lt;"&amp;EDATE(R$2,1))/SUMIFS(Table1368[[Prix total Achat]:[Prix total Achat]],Table1368[[Date revente]:[Date revente]],"&gt;="&amp;R$2,Table1368[[Date revente]:[Date revente]],"&lt;"&amp;EDATE(R$2,1)),"-")</f>
        <v>-</v>
      </c>
    </row>
    <row r="38" ht="16.2" customHeight="1" spans="1:18" s="75" customFormat="1" x14ac:dyDescent="0.25">
      <c r="A38" s="69" t="s">
        <v>44</v>
      </c>
      <c r="B38" s="70" t="s">
        <v>59</v>
      </c>
      <c r="C38" s="71">
        <f>C6/C36</f>
        <v>1.2306589263239418</v>
      </c>
      <c r="D38" s="71">
        <f t="shared" ref="D38:E38" si="25">D6/D36</f>
        <v>1.0944873583012196</v>
      </c>
      <c r="E38" s="72">
        <f t="shared" si="25"/>
        <v>1.044729057048904</v>
      </c>
      <c r="F38" s="73"/>
      <c r="G38" s="71">
        <f>G6/G36</f>
        <v>1.0023555560897175</v>
      </c>
      <c r="H38" s="71">
        <f t="shared" ref="H38:R38" si="26">H6/H36</f>
        <v>0.8982886147261735</v>
      </c>
      <c r="I38" s="71">
        <f t="shared" si="26"/>
        <v>1.0116053972182537</v>
      </c>
      <c r="J38" s="71">
        <v>1.0950665362948062</v>
      </c>
      <c r="K38" s="71">
        <f t="shared" si="26"/>
        <v>1.0337685555214218</v>
      </c>
      <c r="L38" s="71">
        <f t="shared" si="26"/>
        <v>1.056746523522586</v>
      </c>
      <c r="M38" s="71">
        <f t="shared" si="26"/>
        <v>1.0968590446829654</v>
      </c>
      <c r="N38" s="71">
        <f t="shared" si="26"/>
        <v>0.9201829262824777</v>
      </c>
      <c r="O38" s="71">
        <f t="shared" si="26"/>
        <v>1.0944873583012196</v>
      </c>
      <c r="P38" s="71">
        <f t="shared" si="26"/>
        <v>1.2306589263239418</v>
      </c>
      <c r="Q38" s="71" t="e">
        <f t="shared" si="26"/>
        <v>#VALUE!</v>
      </c>
      <c r="R38" s="74" t="e">
        <f t="shared" si="26"/>
        <v>#VALUE!</v>
      </c>
    </row>
    <row r="39" ht="16.35" customHeight="1" spans="1:18" s="75" customFormat="1" x14ac:dyDescent="0.25">
      <c r="A39" s="76" t="s">
        <v>44</v>
      </c>
      <c r="B39" s="77" t="s">
        <v>60</v>
      </c>
      <c r="C39" s="89">
        <v>95</v>
      </c>
      <c r="D39" s="89">
        <v>95</v>
      </c>
      <c r="E39" s="90">
        <v>1140</v>
      </c>
      <c r="F39" s="80"/>
      <c r="G39" s="89">
        <v>95</v>
      </c>
      <c r="H39" s="89">
        <v>95</v>
      </c>
      <c r="I39" s="89">
        <v>95</v>
      </c>
      <c r="J39" s="89">
        <v>95</v>
      </c>
      <c r="K39" s="89">
        <v>95</v>
      </c>
      <c r="L39" s="89">
        <v>95</v>
      </c>
      <c r="M39" s="89">
        <v>95</v>
      </c>
      <c r="N39" s="89">
        <v>95</v>
      </c>
      <c r="O39" s="89">
        <v>95</v>
      </c>
      <c r="P39" s="89">
        <v>95</v>
      </c>
      <c r="Q39" s="89">
        <v>95</v>
      </c>
      <c r="R39" s="80">
        <v>95</v>
      </c>
    </row>
    <row r="40" ht="15.6" customHeight="1" spans="1:18" s="75" customFormat="1" x14ac:dyDescent="0.25">
      <c r="A40" s="64" t="s">
        <v>44</v>
      </c>
      <c r="B40" s="65" t="s">
        <v>61</v>
      </c>
      <c r="C40" s="91">
        <f t="array" ref="C40">SUMPRODUCT(--(MONTH(Table1368[Date revente])=MONTH(TODAY())),--(YEAR(Table1368[Date revente])=YEAR(TODAY())))</f>
        <v>14</v>
      </c>
      <c r="D40" s="91">
        <f t="array" ref="D40">SUMPRODUCT(--(MONTH(Table1368[Date revente])=MONTH(EDATE(TODAY(),-1))),--(YEAR(Table1368[Date revente])=YEAR(EDATE(TODAY(),-1))))</f>
        <v>36</v>
      </c>
      <c r="E40" s="92">
        <f t="array" ref="E40">SUMPRODUCT(--(YEAR(Table1368[Date revente])=YEAR(TODAY())))</f>
        <v>242</v>
      </c>
      <c r="F40" s="82"/>
      <c r="G40" s="91">
        <f>IF(COUNTIFS(Table1368[[Date revente]:[Date revente]],"&gt;="&amp;G$2,Table1368[[Date revente]:[Date revente]],"&lt;"&amp;EDATE(G$2,1))=0,"-",COUNTIFS(Table1368[[Date revente]:[Date revente]],"&gt;="&amp;G$2,Table1368[[Date revente]:[Date revente]],"&lt;"&amp;EDATE(G$2,1)))</f>
        <v>29</v>
      </c>
      <c r="H40" s="91">
        <f>IF(COUNTIFS(Table1368[[Date revente]:[Date revente]],"&gt;="&amp;H$2,Table1368[[Date revente]:[Date revente]],"&lt;"&amp;EDATE(H$2,1))=0,"-",COUNTIFS(Table1368[[Date revente]:[Date revente]],"&gt;="&amp;H$2,Table1368[[Date revente]:[Date revente]],"&lt;"&amp;EDATE(H$2,1)))</f>
        <v>17</v>
      </c>
      <c r="I40" s="91">
        <f>IF(COUNTIFS(Table1368[[Date revente]:[Date revente]],"&gt;="&amp;I$2,Table1368[[Date revente]:[Date revente]],"&lt;"&amp;EDATE(I$2,1))=0,"-",COUNTIFS(Table1368[[Date revente]:[Date revente]],"&gt;="&amp;I$2,Table1368[[Date revente]:[Date revente]],"&lt;"&amp;EDATE(I$2,1)))</f>
        <v>22</v>
      </c>
      <c r="J40" s="91">
        <f>IF(COUNTIFS(Table1368[[Date revente]:[Date revente]],"&gt;="&amp;J$2,Table1368[[Date revente]:[Date revente]],"&lt;"&amp;EDATE(J$2,1))=0,"-",COUNTIFS(Table1368[[Date revente]:[Date revente]],"&gt;="&amp;J$2,Table1368[[Date revente]:[Date revente]],"&lt;"&amp;EDATE(J$2,1)))</f>
        <v>24</v>
      </c>
      <c r="K40" s="91">
        <f>IF(COUNTIFS(Table1368[[Date revente]:[Date revente]],"&gt;="&amp;K$2,Table1368[[Date revente]:[Date revente]],"&lt;"&amp;EDATE(K$2,1))=0,"-",COUNTIFS(Table1368[[Date revente]:[Date revente]],"&gt;="&amp;K$2,Table1368[[Date revente]:[Date revente]],"&lt;"&amp;EDATE(K$2,1)))</f>
        <v>29</v>
      </c>
      <c r="L40" s="91">
        <f>IF(COUNTIFS(Table1368[[Date revente]:[Date revente]],"&gt;="&amp;L$2,Table1368[[Date revente]:[Date revente]],"&lt;"&amp;EDATE(L$2,1))=0,"-",COUNTIFS(Table1368[[Date revente]:[Date revente]],"&gt;="&amp;L$2,Table1368[[Date revente]:[Date revente]],"&lt;"&amp;EDATE(L$2,1)))</f>
        <v>33</v>
      </c>
      <c r="M40" s="91">
        <f>IF(COUNTIFS(Table1368[[Date revente]:[Date revente]],"&gt;="&amp;M$2,Table1368[[Date revente]:[Date revente]],"&lt;"&amp;EDATE(M$2,1))=0,"-",COUNTIFS(Table1368[[Date revente]:[Date revente]],"&gt;="&amp;M$2,Table1368[[Date revente]:[Date revente]],"&lt;"&amp;EDATE(M$2,1)))</f>
        <v>24</v>
      </c>
      <c r="N40" s="91">
        <f>IF(COUNTIFS(Table1368[[Date revente]:[Date revente]],"&gt;="&amp;N$2,Table1368[[Date revente]:[Date revente]],"&lt;"&amp;EDATE(N$2,1))=0,"-",COUNTIFS(Table1368[[Date revente]:[Date revente]],"&gt;="&amp;N$2,Table1368[[Date revente]:[Date revente]],"&lt;"&amp;EDATE(N$2,1)))</f>
        <v>14</v>
      </c>
      <c r="O40" s="91">
        <f>IF(COUNTIFS(Table1368[[Date revente]:[Date revente]],"&gt;="&amp;O$2,Table1368[[Date revente]:[Date revente]],"&lt;"&amp;EDATE(O$2,1))=0,"-",COUNTIFS(Table1368[[Date revente]:[Date revente]],"&gt;="&amp;O$2,Table1368[[Date revente]:[Date revente]],"&lt;"&amp;EDATE(O$2,1)))</f>
        <v>36</v>
      </c>
      <c r="P40" s="91">
        <f>IF(COUNTIFS(Table1368[[Date revente]:[Date revente]],"&gt;="&amp;P$2,Table1368[[Date revente]:[Date revente]],"&lt;"&amp;EDATE(P$2,1))=0,"-",COUNTIFS(Table1368[[Date revente]:[Date revente]],"&gt;="&amp;P$2,Table1368[[Date revente]:[Date revente]],"&lt;"&amp;EDATE(P$2,1)))</f>
        <v>14</v>
      </c>
      <c r="Q40" s="91" t="str">
        <f>IF(COUNTIFS(Table1368[[Date revente]:[Date revente]],"&gt;="&amp;Q$2,Table1368[[Date revente]:[Date revente]],"&lt;"&amp;EDATE(Q$2,1))=0,"-",COUNTIFS(Table1368[[Date revente]:[Date revente]],"&gt;="&amp;Q$2,Table1368[[Date revente]:[Date revente]],"&lt;"&amp;EDATE(Q$2,1)))</f>
        <v>-</v>
      </c>
      <c r="R40" s="82" t="str">
        <f>IF(COUNTIFS(Table1368[[Date revente]:[Date revente]],"&gt;="&amp;R$2,Table1368[[Date revente]:[Date revente]],"&lt;"&amp;EDATE(R$2,1))=0,"-",COUNTIFS(Table1368[[Date revente]:[Date revente]],"&gt;="&amp;R$2,Table1368[[Date revente]:[Date revente]],"&lt;"&amp;EDATE(R$2,1)))</f>
        <v>-</v>
      </c>
    </row>
    <row r="41" ht="16.2" customHeight="1" spans="1:18" s="58" customFormat="1" x14ac:dyDescent="0.25">
      <c r="A41" s="93" t="s">
        <v>44</v>
      </c>
      <c r="B41" s="94" t="s">
        <v>62</v>
      </c>
      <c r="C41" s="95">
        <f>C8/C39</f>
        <v>0.14736842105263157</v>
      </c>
      <c r="D41" s="95">
        <f t="shared" ref="D41" si="27">D8/D39</f>
        <v>0.37894736842105264</v>
      </c>
      <c r="E41" s="96">
        <f>E8/E39</f>
        <v>0.21228070175438596</v>
      </c>
      <c r="F41" s="97"/>
      <c r="G41" s="95">
        <f>G8/G39</f>
        <v>0.30526315789473685</v>
      </c>
      <c r="H41" s="95">
        <f t="shared" ref="H41:R41" si="28">H8/H39</f>
        <v>0.17894736842105263</v>
      </c>
      <c r="I41" s="95">
        <f t="shared" si="28"/>
        <v>0.23157894736842105</v>
      </c>
      <c r="J41" s="95">
        <v>0.2736842105263158</v>
      </c>
      <c r="K41" s="95">
        <f t="shared" si="28"/>
        <v>0.30526315789473685</v>
      </c>
      <c r="L41" s="95">
        <f t="shared" si="28"/>
        <v>0.3473684210526316</v>
      </c>
      <c r="M41" s="95">
        <f t="shared" si="28"/>
        <v>0.25263157894736843</v>
      </c>
      <c r="N41" s="95">
        <f t="shared" si="28"/>
        <v>0.14736842105263157</v>
      </c>
      <c r="O41" s="95">
        <f t="shared" si="28"/>
        <v>0.37894736842105264</v>
      </c>
      <c r="P41" s="95">
        <f t="shared" si="28"/>
        <v>0.14736842105263157</v>
      </c>
      <c r="Q41" s="95" t="e">
        <f t="shared" si="28"/>
        <v>#VALUE!</v>
      </c>
      <c r="R41" s="98" t="e">
        <f t="shared" si="28"/>
        <v>#VALUE!</v>
      </c>
    </row>
  </sheetData>
  <conditionalFormatting sqref="C3:D3 G3:R3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:D4 G4:R4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:D5 G5:R5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:D6 G6:R6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7:D7 G7:R7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:D8 G8:R8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:D9 G9:R9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0:D10 G10:R1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1:D11 G11:R11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6:D16 G16:R1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8:D18 G18:R18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9:D19 G19:R19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:D20 G20:R20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:D21 G21:R21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2:D22 G22:R22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2:R1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:R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4:R1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5:R1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6:R26 C32:R32 C35:R35 C38:R38 C41:R41 C29:R29">
    <cfRule type="colorScale" priority="8">
      <colorScale>
        <cfvo type="num" val="0"/>
        <cfvo type="percentile" val="0.5"/>
        <cfvo type="num" val="1"/>
        <color rgb="FFF8696B"/>
        <color rgb="FFFFEB84"/>
        <color rgb="FF63BE7B"/>
      </colorScale>
    </cfRule>
  </conditionalFormatting>
  <conditionalFormatting sqref="G17:R17 C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3:R23 C23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tableParts count="1">
    <tablePart r:id="rId3"/>
  </tableParts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"/>
  </sheetPr>
  <dimension ref="A1:N68"/>
  <sheetViews>
    <sheetView workbookViewId="0" zoomScale="100" zoomScaleNormal="100">
      <selection activeCell="A69" sqref="A69"/>
    </sheetView>
  </sheetViews>
  <sheetFormatPr defaultRowHeight="14.4" outlineLevelRow="0" outlineLevelCol="0" x14ac:dyDescent="0.3" customHeight="1"/>
  <cols>
    <col min="1" max="1" width="10.44140625" customWidth="1"/>
    <col min="2" max="2" width="16.109375" customWidth="1"/>
    <col min="3" max="3" width="24.33203125" customWidth="1"/>
    <col min="4" max="4" width="13.33203125" customWidth="1"/>
    <col min="5" max="5" width="4.88671875" customWidth="1"/>
    <col min="6" max="6" width="9.6640625" customWidth="1"/>
    <col min="7" max="7" width="10.33203125" customWidth="1"/>
    <col min="8" max="8" width="4.88671875" customWidth="1"/>
    <col min="9" max="9" width="15.6640625" style="161" customWidth="1"/>
    <col min="10" max="10" width="10.44140625" customWidth="1"/>
    <col min="11" max="12" width="8.88671875" customWidth="1"/>
    <col min="13" max="13" width="7.88671875" customWidth="1"/>
    <col min="14" max="14" width="8.88671875" customWidth="1"/>
    <col min="15" max="15" width="6.88671875" customWidth="1"/>
    <col min="16" max="16" width="8.5546875" customWidth="1"/>
    <col min="17" max="18" width="6.88671875" customWidth="1"/>
  </cols>
  <sheetData>
    <row r="1" ht="31.2" customHeight="1" spans="1:14" s="162" customFormat="1" x14ac:dyDescent="0.25">
      <c r="A1" s="163" t="s">
        <v>1122</v>
      </c>
      <c r="B1" s="163"/>
      <c r="C1" s="163" t="str">
        <f>TEXT(TODAY(),"mmm-yy")</f>
        <v>Oct-26</v>
      </c>
      <c r="D1" s="164">
        <f>SUMIFS(Table1[Montant],Table1[Date],"&gt;="&amp;EOMONTH(TODAY(),-1)+1,Table1[Date],"&lt;"&amp;EOMONTH(TODAY(),0)+1)</f>
        <v>43.88</v>
      </c>
      <c r="F1" s="165" t="s">
        <v>1123</v>
      </c>
      <c r="G1" s="166">
        <f>SUM(G3:G14)</f>
        <v>979.57</v>
      </c>
      <c r="I1" s="167" t="s">
        <v>1124</v>
      </c>
      <c r="J1" s="168" t="s">
        <v>1125</v>
      </c>
      <c r="K1" s="168"/>
      <c r="L1" s="168"/>
      <c r="M1" s="168"/>
      <c r="N1" s="168"/>
    </row>
    <row r="2" ht="28.8" customHeight="1" spans="1:14" x14ac:dyDescent="0.25">
      <c r="A2" t="s">
        <v>1126</v>
      </c>
      <c r="B2" t="s">
        <v>131</v>
      </c>
      <c r="C2" t="s">
        <v>1127</v>
      </c>
      <c r="D2" t="s">
        <v>1128</v>
      </c>
      <c r="F2" t="s">
        <v>65</v>
      </c>
      <c r="G2" t="s">
        <v>1129</v>
      </c>
      <c r="I2" s="167" t="s">
        <v>1130</v>
      </c>
      <c r="J2" s="169" t="s">
        <v>1131</v>
      </c>
      <c r="K2" s="169" t="s">
        <v>1132</v>
      </c>
      <c r="L2" s="169" t="s">
        <v>1133</v>
      </c>
      <c r="M2" s="169" t="s">
        <v>1134</v>
      </c>
      <c r="N2" s="169" t="s">
        <v>1135</v>
      </c>
    </row>
    <row r="3" spans="1:14" x14ac:dyDescent="0.25">
      <c r="A3" s="134">
        <v>46029</v>
      </c>
      <c r="B3" s="134" t="s">
        <v>1133</v>
      </c>
      <c r="C3" t="s">
        <v>1136</v>
      </c>
      <c r="D3" s="135">
        <v>9.4</v>
      </c>
      <c r="F3" s="170">
        <v>46023</v>
      </c>
      <c r="G3" s="135">
        <f>SUMIFS(Table1[Montant],Table1[Date],"&gt;="&amp;F3,Table1[Date],"&lt;"&amp;EDATE(F3,1))</f>
        <v>83.16</v>
      </c>
      <c r="I3" s="171" t="s">
        <v>1137</v>
      </c>
      <c r="J3" s="112">
        <v>15.98</v>
      </c>
      <c r="K3" s="112"/>
      <c r="L3" s="112">
        <v>67.18</v>
      </c>
      <c r="M3" s="112"/>
      <c r="N3" s="172">
        <v>83.16000000000001</v>
      </c>
    </row>
    <row r="4" spans="1:14" x14ac:dyDescent="0.25">
      <c r="A4" s="134">
        <v>46034</v>
      </c>
      <c r="B4" s="134" t="s">
        <v>1131</v>
      </c>
      <c r="C4" t="s">
        <v>1138</v>
      </c>
      <c r="D4" s="135">
        <v>5.99</v>
      </c>
      <c r="F4" s="170">
        <v>46054</v>
      </c>
      <c r="G4" s="135">
        <f>SUMIFS(Table1[Montant],Table1[Date],"&gt;="&amp;F4,Table1[Date],"&lt;"&amp;EDATE(F4,1))</f>
        <v>50.16</v>
      </c>
      <c r="I4" s="171" t="s">
        <v>1139</v>
      </c>
      <c r="J4" s="112">
        <v>22.310000000000002</v>
      </c>
      <c r="K4" s="112"/>
      <c r="L4" s="112">
        <v>27.849999999999998</v>
      </c>
      <c r="M4" s="112"/>
      <c r="N4" s="172">
        <v>50.16</v>
      </c>
    </row>
    <row r="5" spans="1:14" x14ac:dyDescent="0.25">
      <c r="A5" s="134">
        <v>46036</v>
      </c>
      <c r="B5" s="134" t="s">
        <v>1133</v>
      </c>
      <c r="C5" t="s">
        <v>1136</v>
      </c>
      <c r="D5" s="135">
        <v>8.95</v>
      </c>
      <c r="F5" s="170">
        <v>46082</v>
      </c>
      <c r="G5" s="135">
        <f>SUMIFS(Table1[Montant],Table1[Date],"&gt;="&amp;F5,Table1[Date],"&lt;"&amp;EDATE(F5,1))</f>
        <v>51.78</v>
      </c>
      <c r="I5" s="173" t="s">
        <v>1140</v>
      </c>
      <c r="J5" s="112">
        <v>15.98</v>
      </c>
      <c r="K5" s="112"/>
      <c r="L5" s="112">
        <v>35.8</v>
      </c>
      <c r="M5" s="112"/>
      <c r="N5" s="172">
        <v>51.78</v>
      </c>
    </row>
    <row r="6" spans="1:14" x14ac:dyDescent="0.25">
      <c r="A6" s="134">
        <v>46040</v>
      </c>
      <c r="B6" s="134" t="s">
        <v>1131</v>
      </c>
      <c r="C6" t="s">
        <v>1141</v>
      </c>
      <c r="D6" s="135">
        <v>9.99</v>
      </c>
      <c r="F6" s="170">
        <v>46113</v>
      </c>
      <c r="G6" s="135">
        <f>SUMIFS(Table1[Montant],Table1[Date],"&gt;="&amp;F6,Table1[Date],"&lt;"&amp;EDATE(F6,1))</f>
        <v>55.339999999999996</v>
      </c>
      <c r="I6" s="174" t="s">
        <v>1142</v>
      </c>
      <c r="J6" s="112">
        <v>24.310000000000002</v>
      </c>
      <c r="K6" s="112"/>
      <c r="L6" s="112">
        <v>39.98</v>
      </c>
      <c r="M6" s="112"/>
      <c r="N6" s="172">
        <v>64.28999999999999</v>
      </c>
    </row>
    <row r="7" spans="1:14" x14ac:dyDescent="0.25">
      <c r="A7" s="134">
        <v>46041</v>
      </c>
      <c r="B7" s="134" t="s">
        <v>1133</v>
      </c>
      <c r="C7" t="s">
        <v>1143</v>
      </c>
      <c r="D7" s="135">
        <v>10.8</v>
      </c>
      <c r="F7" s="170">
        <v>46143</v>
      </c>
      <c r="G7" s="135">
        <f>SUMIFS(Table1[Montant],Table1[Date],"&gt;="&amp;F7,Table1[Date],"&lt;"&amp;EDATE(F7,1))</f>
        <v>145.7</v>
      </c>
      <c r="I7" s="174" t="s">
        <v>1144</v>
      </c>
      <c r="J7" s="112">
        <v>70.95</v>
      </c>
      <c r="K7" s="112">
        <v>30</v>
      </c>
      <c r="L7" s="112">
        <v>44.75</v>
      </c>
      <c r="M7" s="112"/>
      <c r="N7" s="172">
        <v>145.7</v>
      </c>
    </row>
    <row r="8" spans="1:14" x14ac:dyDescent="0.25">
      <c r="A8" s="134">
        <v>46043</v>
      </c>
      <c r="B8" s="134" t="s">
        <v>1133</v>
      </c>
      <c r="C8" t="s">
        <v>1136</v>
      </c>
      <c r="D8" s="135">
        <v>8.95</v>
      </c>
      <c r="F8" s="170">
        <v>46174</v>
      </c>
      <c r="G8" s="135">
        <f>SUMIFS(Table1[Montant],Table1[Date],"&gt;="&amp;F8,Table1[Date],"&lt;"&amp;EDATE(F8,1))</f>
        <v>83.89000000000001</v>
      </c>
      <c r="I8" s="174" t="s">
        <v>1145</v>
      </c>
      <c r="J8" s="112">
        <v>48.09</v>
      </c>
      <c r="K8" s="112"/>
      <c r="L8" s="112">
        <v>35.8</v>
      </c>
      <c r="M8" s="112"/>
      <c r="N8" s="172">
        <v>83.89</v>
      </c>
    </row>
    <row r="9" spans="1:14" x14ac:dyDescent="0.25">
      <c r="A9" s="134">
        <v>46046</v>
      </c>
      <c r="B9" s="134" t="s">
        <v>1133</v>
      </c>
      <c r="C9" t="s">
        <v>1146</v>
      </c>
      <c r="D9" s="135">
        <v>20.13</v>
      </c>
      <c r="F9" s="170">
        <v>46204</v>
      </c>
      <c r="G9" s="135">
        <f>SUMIFS(Table1[Montant],Table1[Date],"&gt;="&amp;F9,Table1[Date],"&lt;"&amp;EDATE(F9,1))</f>
        <v>110.27</v>
      </c>
      <c r="I9" s="174" t="s">
        <v>1147</v>
      </c>
      <c r="J9" s="112">
        <v>69</v>
      </c>
      <c r="K9" s="112">
        <v>14.42</v>
      </c>
      <c r="L9" s="112">
        <v>26.849999999999998</v>
      </c>
      <c r="M9" s="112"/>
      <c r="N9" s="172">
        <v>110.27</v>
      </c>
    </row>
    <row r="10" spans="1:14" x14ac:dyDescent="0.25">
      <c r="A10" s="134">
        <v>46050</v>
      </c>
      <c r="B10" s="134" t="s">
        <v>1133</v>
      </c>
      <c r="C10" t="s">
        <v>1136</v>
      </c>
      <c r="D10" s="135">
        <v>8.95</v>
      </c>
      <c r="F10" s="170">
        <v>46235</v>
      </c>
      <c r="G10" s="135">
        <f>SUMIFS(Table1[Montant],Table1[Date],"&gt;="&amp;F10,Table1[Date],"&lt;"&amp;EDATE(F10,1))</f>
        <v>78.94</v>
      </c>
      <c r="I10" s="174" t="s">
        <v>1148</v>
      </c>
      <c r="J10" s="112">
        <v>69.99000000000001</v>
      </c>
      <c r="K10" s="112"/>
      <c r="L10" s="112">
        <v>8.95</v>
      </c>
      <c r="M10" s="112"/>
      <c r="N10" s="172">
        <v>78.94000000000001</v>
      </c>
    </row>
    <row r="11" spans="1:14" x14ac:dyDescent="0.25">
      <c r="A11" s="134">
        <v>46058</v>
      </c>
      <c r="B11" s="134" t="s">
        <v>1133</v>
      </c>
      <c r="C11" t="s">
        <v>1136</v>
      </c>
      <c r="D11" s="135">
        <v>8.95</v>
      </c>
      <c r="F11" s="170">
        <v>46266</v>
      </c>
      <c r="G11" s="135">
        <f>SUMIFS(Table1[Montant],Table1[Date],"&gt;="&amp;F11,Table1[Date],"&lt;"&amp;EDATE(F11,1))</f>
        <v>276.45</v>
      </c>
      <c r="I11" s="174" t="s">
        <v>1149</v>
      </c>
      <c r="J11" s="112">
        <v>79.98</v>
      </c>
      <c r="K11" s="112">
        <v>69.99</v>
      </c>
      <c r="L11" s="112">
        <v>27.849999999999998</v>
      </c>
      <c r="M11" s="112">
        <v>98.63</v>
      </c>
      <c r="N11" s="172">
        <v>276.45</v>
      </c>
    </row>
    <row r="12" spans="1:14" x14ac:dyDescent="0.25">
      <c r="A12" s="134">
        <v>46065</v>
      </c>
      <c r="B12" s="134" t="s">
        <v>1131</v>
      </c>
      <c r="C12" t="s">
        <v>1138</v>
      </c>
      <c r="D12" s="135">
        <v>5.99</v>
      </c>
      <c r="F12" s="170">
        <v>46296</v>
      </c>
      <c r="G12" s="135">
        <f>SUMIFS(Table1[Montant],Table1[Date],"&gt;="&amp;F12,Table1[Date],"&lt;"&amp;EDATE(F12,1))</f>
        <v>43.88</v>
      </c>
      <c r="I12" s="169" t="s">
        <v>1135</v>
      </c>
      <c r="J12" s="112">
        <v>416.59000000000003</v>
      </c>
      <c r="K12" s="112">
        <v>114.41</v>
      </c>
      <c r="L12" s="112">
        <v>315.01</v>
      </c>
      <c r="M12" s="112">
        <v>98.63</v>
      </c>
      <c r="N12" s="172">
        <v>944.6400000000001</v>
      </c>
    </row>
    <row r="13" spans="1:7" x14ac:dyDescent="0.25">
      <c r="A13" s="134">
        <v>46071</v>
      </c>
      <c r="B13" s="134" t="s">
        <v>1131</v>
      </c>
      <c r="C13" t="s">
        <v>1141</v>
      </c>
      <c r="D13" s="135">
        <v>9.99</v>
      </c>
      <c r="F13" s="170">
        <v>46327</v>
      </c>
      <c r="G13" s="135">
        <f>SUMIFS(Table1[Montant],Table1[Date],"&gt;="&amp;F13,Table1[Date],"&lt;"&amp;EDATE(F13,1))</f>
        <v>0</v>
      </c>
    </row>
    <row r="14" spans="1:7" x14ac:dyDescent="0.25">
      <c r="A14" s="134">
        <v>46074</v>
      </c>
      <c r="B14" s="134" t="s">
        <v>1133</v>
      </c>
      <c r="C14" t="s">
        <v>1136</v>
      </c>
      <c r="D14" s="135">
        <v>9.95</v>
      </c>
      <c r="F14" s="170">
        <v>46357</v>
      </c>
      <c r="G14" s="135">
        <f>SUMIFS(Table1[Montant],Table1[Date],"&gt;="&amp;F14,Table1[Date],"&lt;"&amp;EDATE(F14,1))</f>
        <v>0</v>
      </c>
    </row>
    <row r="15" spans="1:4" x14ac:dyDescent="0.25">
      <c r="A15" s="134">
        <v>46078</v>
      </c>
      <c r="B15" s="134" t="s">
        <v>1131</v>
      </c>
      <c r="C15" t="s">
        <v>1150</v>
      </c>
      <c r="D15" s="135">
        <v>6.33</v>
      </c>
    </row>
    <row r="16" spans="1:4" x14ac:dyDescent="0.25">
      <c r="A16" s="134">
        <v>46081</v>
      </c>
      <c r="B16" s="134" t="s">
        <v>1133</v>
      </c>
      <c r="C16" t="s">
        <v>1136</v>
      </c>
      <c r="D16" s="135">
        <v>8.95</v>
      </c>
    </row>
    <row r="17" spans="1:4" x14ac:dyDescent="0.25">
      <c r="A17" s="134">
        <v>46088</v>
      </c>
      <c r="B17" s="134" t="s">
        <v>1133</v>
      </c>
      <c r="C17" t="s">
        <v>1136</v>
      </c>
      <c r="D17" s="135">
        <v>8.95</v>
      </c>
    </row>
    <row r="18" spans="1:4" x14ac:dyDescent="0.25">
      <c r="A18" s="134">
        <v>46093</v>
      </c>
      <c r="B18" s="134" t="s">
        <v>1131</v>
      </c>
      <c r="C18" t="s">
        <v>1138</v>
      </c>
      <c r="D18" s="135">
        <v>5.99</v>
      </c>
    </row>
    <row r="19" spans="1:4" x14ac:dyDescent="0.25">
      <c r="A19" s="134">
        <v>46095</v>
      </c>
      <c r="B19" s="134" t="s">
        <v>1133</v>
      </c>
      <c r="C19" t="s">
        <v>1136</v>
      </c>
      <c r="D19" s="135">
        <v>8.95</v>
      </c>
    </row>
    <row r="20" spans="1:4" x14ac:dyDescent="0.25">
      <c r="A20" s="134">
        <v>46099</v>
      </c>
      <c r="B20" s="134" t="s">
        <v>1131</v>
      </c>
      <c r="C20" t="s">
        <v>1141</v>
      </c>
      <c r="D20" s="135">
        <v>9.99</v>
      </c>
    </row>
    <row r="21" spans="1:4" x14ac:dyDescent="0.25">
      <c r="A21" s="134">
        <v>46102</v>
      </c>
      <c r="B21" s="134" t="s">
        <v>1133</v>
      </c>
      <c r="C21" t="s">
        <v>1136</v>
      </c>
      <c r="D21" s="135">
        <v>8.95</v>
      </c>
    </row>
    <row r="22" spans="1:4" x14ac:dyDescent="0.25">
      <c r="A22" s="134">
        <v>46109</v>
      </c>
      <c r="B22" s="134" t="s">
        <v>1133</v>
      </c>
      <c r="C22" t="s">
        <v>1136</v>
      </c>
      <c r="D22" s="135">
        <v>8.95</v>
      </c>
    </row>
    <row r="23" spans="1:4" x14ac:dyDescent="0.25">
      <c r="A23" s="134">
        <v>46116</v>
      </c>
      <c r="B23" s="134" t="s">
        <v>1133</v>
      </c>
      <c r="C23" t="s">
        <v>1136</v>
      </c>
      <c r="D23" s="135">
        <v>8.95</v>
      </c>
    </row>
    <row r="24" spans="1:4" x14ac:dyDescent="0.25">
      <c r="A24" s="134">
        <v>46116</v>
      </c>
      <c r="B24" t="s">
        <v>1133</v>
      </c>
      <c r="C24" t="s">
        <v>1151</v>
      </c>
      <c r="D24" s="135">
        <v>4.18</v>
      </c>
    </row>
    <row r="25" spans="1:4" x14ac:dyDescent="0.25">
      <c r="A25" s="134">
        <v>46119</v>
      </c>
      <c r="B25" s="134" t="s">
        <v>1131</v>
      </c>
      <c r="C25" t="s">
        <v>1150</v>
      </c>
      <c r="D25" s="135">
        <v>8.33</v>
      </c>
    </row>
    <row r="26" spans="1:4" x14ac:dyDescent="0.25">
      <c r="A26" s="134">
        <v>46123</v>
      </c>
      <c r="B26" s="134" t="s">
        <v>1133</v>
      </c>
      <c r="C26" t="s">
        <v>1136</v>
      </c>
      <c r="D26" s="135">
        <v>8.95</v>
      </c>
    </row>
    <row r="27" spans="1:4" x14ac:dyDescent="0.25">
      <c r="A27" s="134">
        <v>46124</v>
      </c>
      <c r="B27" s="134" t="s">
        <v>1131</v>
      </c>
      <c r="C27" t="s">
        <v>1138</v>
      </c>
      <c r="D27" s="135">
        <v>5.99</v>
      </c>
    </row>
    <row r="28" spans="1:4" x14ac:dyDescent="0.25">
      <c r="A28" s="134">
        <v>46130</v>
      </c>
      <c r="B28" s="134" t="s">
        <v>1133</v>
      </c>
      <c r="C28" t="s">
        <v>1136</v>
      </c>
      <c r="D28" s="135">
        <v>8.95</v>
      </c>
    </row>
    <row r="29" spans="1:4" x14ac:dyDescent="0.25">
      <c r="A29" s="134">
        <v>46130</v>
      </c>
      <c r="B29" s="134" t="s">
        <v>1131</v>
      </c>
      <c r="C29" t="s">
        <v>1141</v>
      </c>
      <c r="D29" s="135">
        <v>9.99</v>
      </c>
    </row>
    <row r="30" spans="1:4" x14ac:dyDescent="0.25">
      <c r="A30" s="134">
        <v>45772</v>
      </c>
      <c r="B30" s="134" t="s">
        <v>1133</v>
      </c>
      <c r="C30" t="s">
        <v>1136</v>
      </c>
      <c r="D30" s="135">
        <v>8.95</v>
      </c>
    </row>
    <row r="31" spans="1:4" x14ac:dyDescent="0.25">
      <c r="A31" s="134">
        <v>46143</v>
      </c>
      <c r="B31" s="134" t="s">
        <v>1131</v>
      </c>
      <c r="C31" t="s">
        <v>1150</v>
      </c>
      <c r="D31" s="135">
        <v>6.98</v>
      </c>
    </row>
    <row r="32" spans="1:4" x14ac:dyDescent="0.25">
      <c r="A32" s="134">
        <v>46144</v>
      </c>
      <c r="B32" s="134" t="s">
        <v>1133</v>
      </c>
      <c r="C32" t="s">
        <v>1136</v>
      </c>
      <c r="D32" s="135">
        <v>8.95</v>
      </c>
    </row>
    <row r="33" spans="1:4" x14ac:dyDescent="0.25">
      <c r="A33" s="134">
        <v>46151</v>
      </c>
      <c r="B33" s="134" t="s">
        <v>1133</v>
      </c>
      <c r="C33" t="s">
        <v>1136</v>
      </c>
      <c r="D33" s="135">
        <v>8.95</v>
      </c>
    </row>
    <row r="34" spans="1:4" x14ac:dyDescent="0.25">
      <c r="A34" s="134">
        <v>46154</v>
      </c>
      <c r="B34" s="134" t="s">
        <v>1131</v>
      </c>
      <c r="C34" t="s">
        <v>1138</v>
      </c>
      <c r="D34" s="135">
        <v>5.99</v>
      </c>
    </row>
    <row r="35" spans="1:4" x14ac:dyDescent="0.25">
      <c r="A35" s="134">
        <v>46158</v>
      </c>
      <c r="B35" s="134" t="s">
        <v>1133</v>
      </c>
      <c r="C35" t="s">
        <v>1136</v>
      </c>
      <c r="D35" s="135">
        <v>8.95</v>
      </c>
    </row>
    <row r="36" spans="1:4" x14ac:dyDescent="0.25">
      <c r="A36" s="134">
        <v>46160</v>
      </c>
      <c r="B36" s="134" t="s">
        <v>1131</v>
      </c>
      <c r="C36" t="s">
        <v>1141</v>
      </c>
      <c r="D36" s="135">
        <v>9.99</v>
      </c>
    </row>
    <row r="37" spans="1:4" x14ac:dyDescent="0.25">
      <c r="A37" s="134">
        <v>46161</v>
      </c>
      <c r="B37" s="134" t="s">
        <v>1132</v>
      </c>
      <c r="C37" t="s">
        <v>1152</v>
      </c>
      <c r="D37" s="135">
        <v>30</v>
      </c>
    </row>
    <row r="38" spans="1:4" x14ac:dyDescent="0.25">
      <c r="A38" s="134">
        <v>46166</v>
      </c>
      <c r="B38" s="134" t="s">
        <v>1133</v>
      </c>
      <c r="C38" t="s">
        <v>1136</v>
      </c>
      <c r="D38" s="135">
        <v>8.95</v>
      </c>
    </row>
    <row r="39" spans="1:4" x14ac:dyDescent="0.25">
      <c r="A39" s="134">
        <v>46170</v>
      </c>
      <c r="B39" s="134" t="s">
        <v>1131</v>
      </c>
      <c r="C39" t="s">
        <v>1153</v>
      </c>
      <c r="D39" s="135">
        <v>47.99</v>
      </c>
    </row>
    <row r="40" spans="1:4" x14ac:dyDescent="0.25">
      <c r="A40" s="134">
        <v>46173</v>
      </c>
      <c r="B40" s="134" t="s">
        <v>1133</v>
      </c>
      <c r="C40" t="s">
        <v>1136</v>
      </c>
      <c r="D40" s="135">
        <v>8.95</v>
      </c>
    </row>
    <row r="41" spans="1:4" x14ac:dyDescent="0.25">
      <c r="A41" s="134">
        <v>46175</v>
      </c>
      <c r="B41" s="134" t="s">
        <v>1131</v>
      </c>
      <c r="C41" t="s">
        <v>1150</v>
      </c>
      <c r="D41" s="135">
        <v>10</v>
      </c>
    </row>
    <row r="42" spans="1:4" x14ac:dyDescent="0.25">
      <c r="A42" s="134">
        <v>46179</v>
      </c>
      <c r="B42" s="134" t="s">
        <v>1133</v>
      </c>
      <c r="C42" t="s">
        <v>1136</v>
      </c>
      <c r="D42" s="135">
        <v>8.95</v>
      </c>
    </row>
    <row r="43" spans="1:4" x14ac:dyDescent="0.25">
      <c r="A43" s="134">
        <v>46186</v>
      </c>
      <c r="B43" s="134" t="s">
        <v>1133</v>
      </c>
      <c r="C43" t="s">
        <v>1136</v>
      </c>
      <c r="D43" s="135">
        <v>8.95</v>
      </c>
    </row>
    <row r="44" spans="1:4" x14ac:dyDescent="0.25">
      <c r="A44" s="134">
        <v>46191</v>
      </c>
      <c r="B44" s="134" t="s">
        <v>1131</v>
      </c>
      <c r="C44" t="s">
        <v>1141</v>
      </c>
      <c r="D44" s="135">
        <v>9.99</v>
      </c>
    </row>
    <row r="45" spans="1:4" x14ac:dyDescent="0.25">
      <c r="A45" s="134">
        <v>46193</v>
      </c>
      <c r="B45" s="134" t="s">
        <v>1133</v>
      </c>
      <c r="C45" t="s">
        <v>1136</v>
      </c>
      <c r="D45" s="135">
        <v>8.95</v>
      </c>
    </row>
    <row r="46" spans="1:4" x14ac:dyDescent="0.25">
      <c r="A46" s="134">
        <v>46200</v>
      </c>
      <c r="B46" s="134" t="s">
        <v>1133</v>
      </c>
      <c r="C46" t="s">
        <v>1136</v>
      </c>
      <c r="D46" s="135">
        <v>8.95</v>
      </c>
    </row>
    <row r="47" spans="1:4" x14ac:dyDescent="0.25">
      <c r="A47" s="134">
        <v>46201</v>
      </c>
      <c r="B47" s="134" t="s">
        <v>1131</v>
      </c>
      <c r="C47" t="s">
        <v>1153</v>
      </c>
      <c r="D47" s="135">
        <v>28.1</v>
      </c>
    </row>
    <row r="48" spans="1:4" x14ac:dyDescent="0.25">
      <c r="A48" s="134">
        <v>46205</v>
      </c>
      <c r="B48" s="134" t="s">
        <v>1131</v>
      </c>
      <c r="C48" t="s">
        <v>1150</v>
      </c>
      <c r="D48" s="135">
        <v>10</v>
      </c>
    </row>
    <row r="49" spans="1:4" x14ac:dyDescent="0.25">
      <c r="A49" s="134">
        <v>46207</v>
      </c>
      <c r="B49" s="134" t="s">
        <v>1133</v>
      </c>
      <c r="C49" t="s">
        <v>1136</v>
      </c>
      <c r="D49" s="135">
        <v>8.95</v>
      </c>
    </row>
    <row r="50" spans="1:4" x14ac:dyDescent="0.25">
      <c r="A50" s="134">
        <v>46221</v>
      </c>
      <c r="B50" s="134" t="s">
        <v>1133</v>
      </c>
      <c r="C50" t="s">
        <v>1136</v>
      </c>
      <c r="D50" s="135">
        <v>8.95</v>
      </c>
    </row>
    <row r="51" spans="1:4" x14ac:dyDescent="0.25">
      <c r="A51" s="134">
        <v>46228</v>
      </c>
      <c r="B51" s="134" t="s">
        <v>1133</v>
      </c>
      <c r="C51" t="s">
        <v>1136</v>
      </c>
      <c r="D51" s="135">
        <v>8.95</v>
      </c>
    </row>
    <row r="52" spans="1:4" x14ac:dyDescent="0.25">
      <c r="A52" s="134">
        <v>46232</v>
      </c>
      <c r="B52" s="134" t="s">
        <v>1132</v>
      </c>
      <c r="C52" t="s">
        <v>1152</v>
      </c>
      <c r="D52" s="135">
        <v>14.42</v>
      </c>
    </row>
    <row r="53" spans="1:4" x14ac:dyDescent="0.25">
      <c r="A53" s="134">
        <v>46231</v>
      </c>
      <c r="B53" s="134" t="s">
        <v>1131</v>
      </c>
      <c r="C53" t="s">
        <v>1153</v>
      </c>
      <c r="D53" s="135">
        <v>59</v>
      </c>
    </row>
    <row r="54" spans="1:4" x14ac:dyDescent="0.25">
      <c r="A54" s="134">
        <v>46235</v>
      </c>
      <c r="B54" s="134" t="s">
        <v>1133</v>
      </c>
      <c r="C54" t="s">
        <v>1136</v>
      </c>
      <c r="D54" s="135">
        <v>8.95</v>
      </c>
    </row>
    <row r="55" spans="1:4" x14ac:dyDescent="0.25">
      <c r="A55" s="134">
        <v>46235</v>
      </c>
      <c r="B55" s="134" t="s">
        <v>1131</v>
      </c>
      <c r="C55" t="s">
        <v>1150</v>
      </c>
      <c r="D55" s="135">
        <v>10</v>
      </c>
    </row>
    <row r="56" spans="1:4" x14ac:dyDescent="0.25">
      <c r="A56" s="134">
        <v>46262</v>
      </c>
      <c r="B56" s="134" t="s">
        <v>1131</v>
      </c>
      <c r="C56" t="s">
        <v>1153</v>
      </c>
      <c r="D56" s="135">
        <v>59.99</v>
      </c>
    </row>
    <row r="57" spans="1:4" x14ac:dyDescent="0.25">
      <c r="A57" s="134">
        <v>46267</v>
      </c>
      <c r="B57" s="134" t="s">
        <v>1131</v>
      </c>
      <c r="C57" t="s">
        <v>1150</v>
      </c>
      <c r="D57" s="135">
        <v>10</v>
      </c>
    </row>
    <row r="58" spans="1:4" x14ac:dyDescent="0.25">
      <c r="A58" s="134">
        <v>46271</v>
      </c>
      <c r="B58" s="134" t="s">
        <v>1131</v>
      </c>
      <c r="C58" t="s">
        <v>1154</v>
      </c>
      <c r="D58" s="135">
        <v>9.99</v>
      </c>
    </row>
    <row r="59" spans="1:4" x14ac:dyDescent="0.25">
      <c r="A59" s="134">
        <v>46272</v>
      </c>
      <c r="B59" s="134" t="s">
        <v>1133</v>
      </c>
      <c r="C59" t="s">
        <v>1136</v>
      </c>
      <c r="D59" s="135">
        <v>9.95</v>
      </c>
    </row>
    <row r="60" spans="1:4" x14ac:dyDescent="0.25">
      <c r="A60" s="134">
        <v>46273</v>
      </c>
      <c r="B60" t="s">
        <v>1132</v>
      </c>
      <c r="C60" t="s">
        <v>1155</v>
      </c>
      <c r="D60" s="135">
        <v>69.99</v>
      </c>
    </row>
    <row r="61" spans="1:4" x14ac:dyDescent="0.25">
      <c r="A61" s="134">
        <v>46279</v>
      </c>
      <c r="B61" s="134" t="s">
        <v>1133</v>
      </c>
      <c r="C61" t="s">
        <v>1136</v>
      </c>
      <c r="D61" s="135">
        <v>8.95</v>
      </c>
    </row>
    <row r="62" spans="1:4" x14ac:dyDescent="0.25">
      <c r="A62" s="134">
        <v>46286</v>
      </c>
      <c r="B62" s="134" t="s">
        <v>1133</v>
      </c>
      <c r="C62" t="s">
        <v>1136</v>
      </c>
      <c r="D62" s="135">
        <v>8.95</v>
      </c>
    </row>
    <row r="63" spans="1:4" x14ac:dyDescent="0.25">
      <c r="A63" s="134">
        <v>46289</v>
      </c>
      <c r="B63" t="s">
        <v>1134</v>
      </c>
      <c r="C63" t="s">
        <v>1156</v>
      </c>
      <c r="D63" s="135">
        <v>98.63</v>
      </c>
    </row>
    <row r="64" spans="1:4" x14ac:dyDescent="0.25">
      <c r="A64" s="134">
        <v>46293</v>
      </c>
      <c r="B64" s="134" t="s">
        <v>1131</v>
      </c>
      <c r="C64" t="s">
        <v>1153</v>
      </c>
      <c r="D64" s="135">
        <v>59.99</v>
      </c>
    </row>
    <row r="65" spans="1:4" x14ac:dyDescent="0.25">
      <c r="A65" s="134">
        <v>46296</v>
      </c>
      <c r="B65" s="134" t="s">
        <v>1131</v>
      </c>
      <c r="C65" t="s">
        <v>1150</v>
      </c>
      <c r="D65" s="135">
        <v>10</v>
      </c>
    </row>
    <row r="66" spans="1:4" x14ac:dyDescent="0.25">
      <c r="A66" s="134">
        <v>46300</v>
      </c>
      <c r="B66" t="s">
        <v>1132</v>
      </c>
      <c r="C66" t="s">
        <v>1152</v>
      </c>
      <c r="D66" s="135">
        <v>14.94</v>
      </c>
    </row>
    <row r="67" spans="1:4" x14ac:dyDescent="0.25">
      <c r="A67" s="134">
        <v>46300</v>
      </c>
      <c r="B67" s="134" t="s">
        <v>1133</v>
      </c>
      <c r="C67" t="s">
        <v>1136</v>
      </c>
      <c r="D67" s="135">
        <v>8.95</v>
      </c>
    </row>
    <row r="68" spans="1:4" x14ac:dyDescent="0.25">
      <c r="A68" s="134">
        <v>46302</v>
      </c>
      <c r="B68" s="134" t="s">
        <v>1131</v>
      </c>
      <c r="C68" t="s">
        <v>1154</v>
      </c>
      <c r="D68" s="135">
        <v>9.99</v>
      </c>
    </row>
  </sheetData>
  <dataValidations count="2">
    <dataValidation type="list" allowBlank="1" showInputMessage="1" showErrorMessage="1" sqref="B10:B68">
      <formula1>"Vinted Promo,3rd party tools,Matériel,Autre"</formula1>
    </dataValidation>
    <dataValidation type="list" allowBlank="1" showInputMessage="1" showErrorMessage="1" sqref="B3:B68">
      <formula1>"Vinted Promo,3rd party tools,Matériel,Autre"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tableParts count="2">
    <tablePart r:id="rId1"/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R14"/>
  <sheetViews>
    <sheetView workbookViewId="0" zoomScale="100" zoomScaleNormal="100">
      <selection activeCell="R12" sqref="R12"/>
    </sheetView>
  </sheetViews>
  <sheetFormatPr defaultRowHeight="14.4" outlineLevelRow="0" outlineLevelCol="0" x14ac:dyDescent="0.3" customHeight="1"/>
  <cols>
    <col min="1" max="1" width="7.5546875" customWidth="1"/>
    <col min="2" max="2" width="12.5546875" customWidth="1"/>
    <col min="3" max="3" width="11.33203125" customWidth="1"/>
    <col min="4" max="4" width="11.109375" customWidth="1"/>
    <col min="5" max="5" width="11" customWidth="1"/>
    <col min="6" max="6" width="11.5546875" customWidth="1"/>
    <col min="8" max="8" width="7.109375" customWidth="1"/>
    <col min="9" max="9" width="11.5546875" customWidth="1"/>
    <col min="10" max="10" width="12.5546875" customWidth="1"/>
    <col min="11" max="11" width="12.88671875" customWidth="1"/>
    <col min="12" max="12" width="14.6640625" customWidth="1"/>
    <col min="13" max="13" width="11.6640625" customWidth="1"/>
    <col min="14" max="14" width="11" customWidth="1"/>
    <col min="15" max="15" width="10.88671875" customWidth="1"/>
    <col min="16" max="16" width="10.6640625" style="2" customWidth="1"/>
    <col min="17" max="17" width="12.5546875" customWidth="1"/>
    <col min="18" max="18" width="11" customWidth="1"/>
    <col min="19" max="19" width="17.33203125" customWidth="1"/>
    <col min="20" max="20" width="12.44140625" customWidth="1"/>
    <col min="21" max="21" width="12.5546875" customWidth="1"/>
    <col min="22" max="22" width="5.5546875" customWidth="1"/>
  </cols>
  <sheetData>
    <row r="1" ht="15.6" customHeight="1" spans="1:17" x14ac:dyDescent="0.25">
      <c r="A1" s="99"/>
      <c r="K1" s="100" t="s">
        <v>63</v>
      </c>
      <c r="Q1" s="101" t="s">
        <v>64</v>
      </c>
    </row>
    <row r="2" ht="86.4" customHeight="1" spans="1:18" x14ac:dyDescent="0.25">
      <c r="A2" s="102" t="s">
        <v>65</v>
      </c>
      <c r="B2" s="103" t="s">
        <v>66</v>
      </c>
      <c r="C2" s="103" t="s">
        <v>67</v>
      </c>
      <c r="D2" s="103" t="s">
        <v>68</v>
      </c>
      <c r="E2" s="104" t="s">
        <v>25</v>
      </c>
      <c r="F2" s="104" t="s">
        <v>69</v>
      </c>
      <c r="G2" s="104" t="s">
        <v>70</v>
      </c>
      <c r="H2" s="104" t="s">
        <v>71</v>
      </c>
      <c r="I2" s="104" t="s">
        <v>72</v>
      </c>
      <c r="J2" s="104" t="s">
        <v>73</v>
      </c>
      <c r="K2" s="105" t="s">
        <v>74</v>
      </c>
      <c r="L2" s="106" t="s">
        <v>75</v>
      </c>
      <c r="M2" s="103" t="s">
        <v>76</v>
      </c>
      <c r="N2" s="103" t="s">
        <v>77</v>
      </c>
      <c r="O2" s="103" t="s">
        <v>78</v>
      </c>
      <c r="P2" s="103" t="s">
        <v>79</v>
      </c>
      <c r="Q2" s="105" t="s">
        <v>80</v>
      </c>
      <c r="R2" s="107" t="s">
        <v>81</v>
      </c>
    </row>
    <row r="3" spans="1:18" x14ac:dyDescent="0.25">
      <c r="A3" s="108">
        <v>46023</v>
      </c>
      <c r="B3" s="109">
        <v>1200</v>
      </c>
      <c r="C3" s="110"/>
      <c r="D3" s="111">
        <v>1235</v>
      </c>
      <c r="E3" s="109">
        <f>SUMIFS(Table1368[Prix total Achat],Table1368[Date achat],"&gt;="&amp;Table3[[#This Row],[Mois]],Table1368[Date achat],"&lt;"&amp;EDATE(Table3[[#This Row],[Mois]],1))</f>
        <v>1711.5690000000004</v>
      </c>
      <c r="F3" s="112">
        <f>Table3[[#This Row],[Encaissements (CA)]]*0.062</f>
        <v>76.57</v>
      </c>
      <c r="G3" s="112">
        <f>Table3[[#This Row],[Encaissements (CA)]]*0.01</f>
        <v>12.35</v>
      </c>
      <c r="H3" s="109"/>
      <c r="I3" s="109">
        <f>(Table3[[#This Row],[Encaissements (CA)]]*0.29)*0.7</f>
        <v>250.70499999999996</v>
      </c>
      <c r="J3" s="109">
        <f>Dépenses!G3</f>
        <v>83.16</v>
      </c>
      <c r="K3" s="109"/>
      <c r="L3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1883.6490000000003</v>
      </c>
      <c r="M3" s="112">
        <f>(Table3[[#This Row],[Trésorerie début de mois]]+Table3[[#This Row],[Encaissements (CA)]])-Table3[[#This Row],[Décaissements (total)]]</f>
        <v>551.3509999999997</v>
      </c>
      <c r="N3" s="109">
        <v>1000</v>
      </c>
      <c r="O3" s="113">
        <f>SUMIFS(Table1368[Bénéfice],Table1368[Date revente],"&gt;="&amp;Table3[[#This Row],[Mois]],Table1368[Date revente],"&lt;"&amp;EDATE(Table3[[#This Row],[Mois]],1))</f>
        <v>753.3815923809525</v>
      </c>
      <c r="P3" s="114">
        <f>Table3[[#This Row],[Bénéfice Brut]]-(Table3[[#This Row],[URSSAF]]+Table3[[#This Row],[Impots]]+Table3[[#This Row],[Dépenses (matériel, Vinted Bumps, Wardrobe)]]+Table3[[#This Row],[Frais pros fixes (compte PRO, assurance PRO, domiciliation)]])</f>
        <v>581.3015923809526</v>
      </c>
      <c r="Q3" s="109">
        <v>365</v>
      </c>
      <c r="R3" s="109">
        <f>IF(Table3[[#This Row],[Bénéfice Net]]=0,0,Table3[[#This Row],[Bénéfice Net]]-Table3[[#This Row],[Frais fixes persos (mutuelle, retraite, vacances)]])</f>
        <v>216.30159238095257</v>
      </c>
    </row>
    <row r="4" spans="1:18" x14ac:dyDescent="0.25">
      <c r="A4" s="108">
        <v>46054</v>
      </c>
      <c r="B4" s="109">
        <v>1050</v>
      </c>
      <c r="C4" s="110">
        <v>1263.26566952381</v>
      </c>
      <c r="D4" s="111">
        <f>SUMIFS(Table1368[Prix de revente],Table1368[Date revente],"&gt;="&amp;Table3[[#This Row],[Mois]],Table1368[Date revente],"&lt;"&amp;EDATE(Table3[[#This Row],[Mois]],1))</f>
        <v>1448.6</v>
      </c>
      <c r="E4" s="109">
        <f>SUMIFS(Table1368[Prix total Achat],Table1368[Date achat],"&gt;="&amp;Table3[[#This Row],[Mois]],Table1368[Date achat],"&lt;"&amp;EDATE(Table3[[#This Row],[Mois]],1))</f>
        <v>0</v>
      </c>
      <c r="F4" s="112">
        <f>Table3[[#This Row],[Encaissements (CA)]]*0.062</f>
        <v>89.8132</v>
      </c>
      <c r="G4" s="112">
        <f>Table3[[#This Row],[Encaissements (CA)]]*0.01</f>
        <v>14.485999999999999</v>
      </c>
      <c r="H4" s="109"/>
      <c r="I4" s="109">
        <f>(Table3[[#This Row],[Encaissements (CA)]]*0.29)*0.7</f>
        <v>294.0657999999999</v>
      </c>
      <c r="J4" s="109">
        <f>Dépenses!G4</f>
        <v>50.16</v>
      </c>
      <c r="K4" s="109"/>
      <c r="L4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154.4592</v>
      </c>
      <c r="M4" s="112">
        <f>(Table3[[#This Row],[Trésorerie début de mois]]+Table3[[#This Row],[Encaissements (CA)]])-Table3[[#This Row],[Décaissements (total)]]</f>
        <v>2344.1408</v>
      </c>
      <c r="N4" s="109">
        <v>1332.77</v>
      </c>
      <c r="O4" s="113">
        <f>SUMIFS(Table1368[Bénéfice],Table1368[Date revente],"&gt;="&amp;Table3[[#This Row],[Mois]],Table1368[Date revente],"&lt;"&amp;EDATE(Table3[[#This Row],[Mois]],1))</f>
        <v>715.5899911229947</v>
      </c>
      <c r="P4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561.1307911229947</v>
      </c>
      <c r="Q4" s="109">
        <v>365</v>
      </c>
      <c r="R4" s="109">
        <f>IF(Table3[[#This Row],[Bénéfice Net]]=0,0,Table3[[#This Row],[Bénéfice Net]]-Table3[[#This Row],[Frais fixes persos (mutuelle, retraite, vacances)]])</f>
        <v>196.13079112299465</v>
      </c>
    </row>
    <row r="5" spans="1:18" x14ac:dyDescent="0.25">
      <c r="A5" s="108">
        <v>46082</v>
      </c>
      <c r="B5" s="109">
        <v>1332.77</v>
      </c>
      <c r="C5" s="110">
        <v>1313.9301606468043</v>
      </c>
      <c r="D5" s="111">
        <f>SUMIFS(Table1368[Prix de revente],Table1368[Date revente],"&gt;="&amp;Table3[[#This Row],[Mois]],Table1368[Date revente],"&lt;"&amp;EDATE(Table3[[#This Row],[Mois]],1))</f>
        <v>1728.6</v>
      </c>
      <c r="E5" s="109">
        <f>SUMIFS(Table1368[Prix total Achat],Table1368[Date achat],"&gt;="&amp;Table3[[#This Row],[Mois]],Table1368[Date achat],"&lt;"&amp;EDATE(Table3[[#This Row],[Mois]],1))</f>
        <v>968.7888408857144</v>
      </c>
      <c r="F5" s="112">
        <f>Table3[[#This Row],[Encaissements (CA)]]*0.062</f>
        <v>107.1732</v>
      </c>
      <c r="G5" s="112">
        <f>Table3[[#This Row],[Encaissements (CA)]]*0.01</f>
        <v>17.285999999999998</v>
      </c>
      <c r="H5" s="109"/>
      <c r="I5" s="109">
        <f>(Table3[[#This Row],[Encaissements (CA)]]*0.29)*0.7</f>
        <v>350.90579999999994</v>
      </c>
      <c r="J5" s="109">
        <f>Dépenses!G5</f>
        <v>51.78</v>
      </c>
      <c r="K5" s="109"/>
      <c r="L5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1145.0280408857145</v>
      </c>
      <c r="M5" s="112">
        <f>(Table3[[#This Row],[Trésorerie début de mois]]+Table3[[#This Row],[Encaissements (CA)]])-Table3[[#This Row],[Décaissements (total)]]</f>
        <v>1916.3419591142854</v>
      </c>
      <c r="N5" s="109">
        <v>760</v>
      </c>
      <c r="O5" s="113">
        <f>SUMIFS(Table1368[Bénéfice],Table1368[Date revente],"&gt;="&amp;Table3[[#This Row],[Mois]],Table1368[Date revente],"&lt;"&amp;EDATE(Table3[[#This Row],[Mois]],1))</f>
        <v>951.8867925696206</v>
      </c>
      <c r="P5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775.6475925696207</v>
      </c>
      <c r="Q5" s="109">
        <v>365</v>
      </c>
      <c r="R5" s="109">
        <f>IF(Table3[[#This Row],[Bénéfice Net]]=0,0,Table3[[#This Row],[Bénéfice Net]]-Table3[[#This Row],[Frais fixes persos (mutuelle, retraite, vacances)]])</f>
        <v>410.64759256962066</v>
      </c>
    </row>
    <row r="6" spans="1:18" x14ac:dyDescent="0.25">
      <c r="A6" s="108">
        <v>46113</v>
      </c>
      <c r="B6" s="109">
        <v>760</v>
      </c>
      <c r="C6" s="110">
        <v>4042.2935712955677</v>
      </c>
      <c r="D6" s="111">
        <f>SUMIFS(Table1368[Prix de revente],Table1368[Date revente],"&gt;="&amp;Table3[[#This Row],[Mois]],Table1368[Date revente],"&lt;"&amp;EDATE(Table3[[#This Row],[Mois]],1))</f>
        <v>2089.8999999999996</v>
      </c>
      <c r="E6" s="109">
        <f>SUMIFS(Table1368[Prix total Achat],Table1368[Date achat],"&gt;="&amp;Table3[[#This Row],[Mois]],Table1368[Date achat],"&lt;"&amp;EDATE(Table3[[#This Row],[Mois]],1))</f>
        <v>1995.4833919999994</v>
      </c>
      <c r="F6" s="112">
        <f>Table3[[#This Row],[Encaissements (CA)]]*0.062</f>
        <v>129.57379999999998</v>
      </c>
      <c r="G6" s="112">
        <f>Table3[[#This Row],[Encaissements (CA)]]*0.01</f>
        <v>20.898999999999997</v>
      </c>
      <c r="H6" s="109"/>
      <c r="I6" s="109">
        <f>(Table3[[#This Row],[Encaissements (CA)]]*0.29)*0.7</f>
        <v>424.24969999999985</v>
      </c>
      <c r="J6" s="109">
        <f>Dépenses!G6</f>
        <v>55.339999999999996</v>
      </c>
      <c r="K6" s="109"/>
      <c r="L6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2201.2961919999993</v>
      </c>
      <c r="M6" s="112">
        <f>(Table3[[#This Row],[Trésorerie début de mois]]+Table3[[#This Row],[Encaissements (CA)]])-Table3[[#This Row],[Décaissements (total)]]</f>
        <v>648.6038080000003</v>
      </c>
      <c r="N6" s="109"/>
      <c r="O6" s="113">
        <f>SUMIFS(Table1368[Bénéfice],Table1368[Date revente],"&gt;="&amp;Table3[[#This Row],[Mois]],Table1368[Date revente],"&lt;"&amp;EDATE(Table3[[#This Row],[Mois]],1))</f>
        <v>1193.3313738824295</v>
      </c>
      <c r="P6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987.5185738824296</v>
      </c>
      <c r="Q6" s="109">
        <v>365</v>
      </c>
      <c r="R6" s="109">
        <f>IF(Table3[[#This Row],[Bénéfice Net]]=0,0,Table3[[#This Row],[Bénéfice Net]]-Table3[[#This Row],[Frais fixes persos (mutuelle, retraite, vacances)]])</f>
        <v>622.5185738824296</v>
      </c>
    </row>
    <row r="7" spans="1:18" x14ac:dyDescent="0.25">
      <c r="A7" s="108">
        <v>46143</v>
      </c>
      <c r="B7" s="109">
        <v>1000</v>
      </c>
      <c r="C7" s="110">
        <v>5095.1275807732345</v>
      </c>
      <c r="D7" s="111">
        <f>SUMIFS(Table1368[Prix de revente],Table1368[Date revente],"&gt;="&amp;Table3[[#This Row],[Mois]],Table1368[Date revente],"&lt;"&amp;EDATE(Table3[[#This Row],[Mois]],1))</f>
        <v>2418.1</v>
      </c>
      <c r="E7" s="109">
        <f>SUMIFS(Table1368[Prix total Achat],Table1368[Date achat],"&gt;="&amp;Table3[[#This Row],[Mois]],Table1368[Date achat],"&lt;"&amp;EDATE(Table3[[#This Row],[Mois]],1))</f>
        <v>2414.5243794999997</v>
      </c>
      <c r="F7" s="112">
        <f>Table3[[#This Row],[Encaissements (CA)]]*0.062</f>
        <v>149.9222</v>
      </c>
      <c r="G7" s="112">
        <f>Table3[[#This Row],[Encaissements (CA)]]*0.01</f>
        <v>24.181</v>
      </c>
      <c r="H7" s="109"/>
      <c r="I7" s="109">
        <f>(Table3[[#This Row],[Encaissements (CA)]]*0.29)*0.7</f>
        <v>490.8742999999999</v>
      </c>
      <c r="J7" s="109">
        <f>Dépenses!G7</f>
        <v>145.7</v>
      </c>
      <c r="K7" s="109"/>
      <c r="L7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2734.3275794999995</v>
      </c>
      <c r="M7" s="112">
        <f>(Table3[[#This Row],[Trésorerie début de mois]]+Table3[[#This Row],[Encaissements (CA)]])-Table3[[#This Row],[Décaissements (total)]]</f>
        <v>683.7724205000004</v>
      </c>
      <c r="N7" s="109">
        <v>650</v>
      </c>
      <c r="O7" s="113">
        <f>SUMIFS(Table1368[Bénéfice],Table1368[Date revente],"&gt;="&amp;Table3[[#This Row],[Mois]],Table1368[Date revente],"&lt;"&amp;EDATE(Table3[[#This Row],[Mois]],1))</f>
        <v>1354.867463311001</v>
      </c>
      <c r="P7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1035.064263311001</v>
      </c>
      <c r="Q7" s="109">
        <v>365</v>
      </c>
      <c r="R7" s="109">
        <f>IF(Table3[[#This Row],[Bénéfice Net]]=0,0,Table3[[#This Row],[Bénéfice Net]]-Table3[[#This Row],[Frais fixes persos (mutuelle, retraite, vacances)]])</f>
        <v>670.064263311001</v>
      </c>
    </row>
    <row r="8" spans="1:18" x14ac:dyDescent="0.25">
      <c r="A8" s="108">
        <v>46174</v>
      </c>
      <c r="B8" s="109">
        <v>650</v>
      </c>
      <c r="C8" s="110">
        <v>5637.037318181605</v>
      </c>
      <c r="D8" s="111">
        <f>SUMIFS(Table1368[Prix de revente],Table1368[Date revente],"&gt;="&amp;Table3[[#This Row],[Mois]],Table1368[Date revente],"&lt;"&amp;EDATE(Table3[[#This Row],[Mois]],1))</f>
        <v>2631.88</v>
      </c>
      <c r="E8" s="109">
        <f>SUMIFS(Table1368[Prix total Achat],Table1368[Date achat],"&gt;="&amp;Table3[[#This Row],[Mois]],Table1368[Date achat],"&lt;"&amp;EDATE(Table3[[#This Row],[Mois]],1))</f>
        <v>2184.949878444444</v>
      </c>
      <c r="F8" s="112">
        <f>Table3[[#This Row],[Encaissements (CA)]]*0.062</f>
        <v>163.17656</v>
      </c>
      <c r="G8" s="112">
        <f>Table3[[#This Row],[Encaissements (CA)]]*0.01</f>
        <v>26.318800000000003</v>
      </c>
      <c r="H8" s="109"/>
      <c r="I8" s="109">
        <f>(Table3[[#This Row],[Encaissements (CA)]]*0.29)*0.7</f>
        <v>534.2716399999999</v>
      </c>
      <c r="J8" s="109">
        <f>Dépenses!G8</f>
        <v>83.89000000000001</v>
      </c>
      <c r="K8" s="109"/>
      <c r="L8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2458.335238444444</v>
      </c>
      <c r="M8" s="112">
        <f>(Table3[[#This Row],[Trésorerie début de mois]]+Table3[[#This Row],[Encaissements (CA)]])-Table3[[#This Row],[Décaissements (total)]]</f>
        <v>823.5447615555563</v>
      </c>
      <c r="N8" s="109"/>
      <c r="O8" s="113">
        <f>SUMIFS(Table1368[Bénéfice],Table1368[Date revente],"&gt;="&amp;Table3[[#This Row],[Mois]],Table1368[Date revente],"&lt;"&amp;EDATE(Table3[[#This Row],[Mois]],1))</f>
        <v>1499.8118414776675</v>
      </c>
      <c r="P8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1226.4264814776675</v>
      </c>
      <c r="Q8" s="109">
        <v>365</v>
      </c>
      <c r="R8" s="109">
        <f>IF(Table3[[#This Row],[Bénéfice Net]]=0,0,Table3[[#This Row],[Bénéfice Net]]-Table3[[#This Row],[Frais fixes persos (mutuelle, retraite, vacances)]])</f>
        <v>861.4264814776675</v>
      </c>
    </row>
    <row r="9" spans="1:18" x14ac:dyDescent="0.25">
      <c r="A9" s="108">
        <v>46204</v>
      </c>
      <c r="B9" s="109"/>
      <c r="C9" s="110">
        <v>5233.970207638188</v>
      </c>
      <c r="D9" s="111">
        <f>SUMIFS(Table1368[Prix de revente],Table1368[Date revente],"&gt;="&amp;Table3[[#This Row],[Mois]],Table1368[Date revente],"&lt;"&amp;EDATE(Table3[[#This Row],[Mois]],1))</f>
        <v>1745.6999999999998</v>
      </c>
      <c r="E9" s="109">
        <f>SUMIFS(Table1368[Prix total Achat],Table1368[Date achat],"&gt;="&amp;Table3[[#This Row],[Mois]],Table1368[Date achat],"&lt;"&amp;EDATE(Table3[[#This Row],[Mois]],1))</f>
        <v>1339.392522</v>
      </c>
      <c r="F9" s="112">
        <f>Table3[[#This Row],[Encaissements (CA)]]*0.062</f>
        <v>108.23339999999999</v>
      </c>
      <c r="G9" s="112">
        <f>Table3[[#This Row],[Encaissements (CA)]]*0.01</f>
        <v>17.456999999999997</v>
      </c>
      <c r="H9" s="109"/>
      <c r="I9" s="109">
        <f>(Table3[[#This Row],[Encaissements (CA)]]*0.29)*0.7</f>
        <v>354.3770999999999</v>
      </c>
      <c r="J9" s="109">
        <f>Dépenses!G9</f>
        <v>110.27</v>
      </c>
      <c r="K9" s="109"/>
      <c r="L9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1575.3529220000003</v>
      </c>
      <c r="M9" s="112">
        <f>(Table3[[#This Row],[Trésorerie début de mois]]+Table3[[#This Row],[Encaissements (CA)]])-Table3[[#This Row],[Décaissements (total)]]</f>
        <v>170.34707799999956</v>
      </c>
      <c r="N9" s="109"/>
      <c r="O9" s="113">
        <f>SUMIFS(Table1368[Bénéfice],Table1368[Date revente],"&gt;="&amp;Table3[[#This Row],[Mois]],Table1368[Date revente],"&lt;"&amp;EDATE(Table3[[#This Row],[Mois]],1))</f>
        <v>1022.2706734639253</v>
      </c>
      <c r="P9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786.3102734639253</v>
      </c>
      <c r="Q9" s="109">
        <v>365</v>
      </c>
      <c r="R9" s="109">
        <f>IF(Table3[[#This Row],[Bénéfice Net]]=0,0,Table3[[#This Row],[Bénéfice Net]]-Table3[[#This Row],[Frais fixes persos (mutuelle, retraite, vacances)]])</f>
        <v>421.31027346392534</v>
      </c>
    </row>
    <row r="10" spans="1:18" x14ac:dyDescent="0.25">
      <c r="A10" s="108">
        <v>46235</v>
      </c>
      <c r="B10" s="109"/>
      <c r="C10" s="110">
        <v>4504.486329993615</v>
      </c>
      <c r="D10" s="111">
        <f>SUMIFS(Table1368[Prix de revente],Table1368[Date revente],"&gt;="&amp;Table3[[#This Row],[Mois]],Table1368[Date revente],"&lt;"&amp;EDATE(Table3[[#This Row],[Mois]],1))</f>
        <v>971.0999999999999</v>
      </c>
      <c r="E10" s="109">
        <f>SUMIFS(Table1368[Prix total Achat],Table1368[Date achat],"&gt;="&amp;Table3[[#This Row],[Mois]],Table1368[Date achat],"&lt;"&amp;EDATE(Table3[[#This Row],[Mois]],1))</f>
        <v>76.63</v>
      </c>
      <c r="F10" s="112">
        <f>Table3[[#This Row],[Encaissements (CA)]]*0.062</f>
        <v>60.20819999999999</v>
      </c>
      <c r="G10" s="112">
        <f>Table3[[#This Row],[Encaissements (CA)]]*0.01</f>
        <v>9.710999999999999</v>
      </c>
      <c r="H10" s="109"/>
      <c r="I10" s="109">
        <f>(Table3[[#This Row],[Encaissements (CA)]]*0.29)*0.7</f>
        <v>197.13329999999996</v>
      </c>
      <c r="J10" s="109">
        <f>Dépenses!G10</f>
        <v>78.94</v>
      </c>
      <c r="K10" s="109"/>
      <c r="L10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225.48919999999998</v>
      </c>
      <c r="M10" s="112">
        <f>(Table3[[#This Row],[Trésorerie début de mois]]+Table3[[#This Row],[Encaissements (CA)]])-Table3[[#This Row],[Décaissements (total)]]</f>
        <v>745.6107999999999</v>
      </c>
      <c r="N10" s="109"/>
      <c r="O10" s="113">
        <f>SUMIFS(Table1368[Bénéfice],Table1368[Date revente],"&gt;="&amp;Table3[[#This Row],[Mois]],Table1368[Date revente],"&lt;"&amp;EDATE(Table3[[#This Row],[Mois]],1))</f>
        <v>491.40288945658267</v>
      </c>
      <c r="P10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342.5436894565827</v>
      </c>
      <c r="Q10" s="109">
        <v>365</v>
      </c>
      <c r="R10" s="109">
        <f>IF(Table3[[#This Row],[Bénéfice Net]]=0,0,Table3[[#This Row],[Bénéfice Net]]-Table3[[#This Row],[Frais fixes persos (mutuelle, retraite, vacances)]])</f>
        <v>-22.456310543417317</v>
      </c>
    </row>
    <row r="11" spans="1:18" x14ac:dyDescent="0.25">
      <c r="A11" s="108">
        <v>46266</v>
      </c>
      <c r="B11" s="109"/>
      <c r="C11" s="110"/>
      <c r="D11" s="111">
        <f>SUMIFS(Table1368[Prix de revente],Table1368[Date revente],"&gt;="&amp;Table3[[#This Row],[Mois]],Table1368[Date revente],"&lt;"&amp;EDATE(Table3[[#This Row],[Mois]],1))</f>
        <v>3523.9999999999995</v>
      </c>
      <c r="E11" s="109">
        <f>SUMIFS(Table1368[Prix total Achat],Table1368[Date achat],"&gt;="&amp;Table3[[#This Row],[Mois]],Table1368[Date achat],"&lt;"&amp;EDATE(Table3[[#This Row],[Mois]],1))</f>
        <v>734.0489532</v>
      </c>
      <c r="F11" s="112">
        <f>Table3[[#This Row],[Encaissements (CA)]]*0.062</f>
        <v>218.48799999999997</v>
      </c>
      <c r="G11" s="112">
        <f>Table3[[#This Row],[Encaissements (CA)]]*0.01</f>
        <v>35.239999999999995</v>
      </c>
      <c r="H11" s="109"/>
      <c r="I11" s="109">
        <f>(Table3[[#This Row],[Encaissements (CA)]]*0.29)*0.7</f>
        <v>715.3719999999998</v>
      </c>
      <c r="J11" s="109">
        <f>Dépenses!G11</f>
        <v>276.45</v>
      </c>
      <c r="K11" s="109">
        <v>18</v>
      </c>
      <c r="L11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1282.2269532</v>
      </c>
      <c r="M11" s="112">
        <f>(Table3[[#This Row],[Trésorerie début de mois]]+Table3[[#This Row],[Encaissements (CA)]])-Table3[[#This Row],[Décaissements (total)]]</f>
        <v>2241.7730467999995</v>
      </c>
      <c r="N11" s="109"/>
      <c r="O11" s="113">
        <f>SUMIFS(Table1368[Bénéfice],Table1368[Date revente],"&gt;="&amp;Table3[[#This Row],[Mois]],Table1368[Date revente],"&lt;"&amp;EDATE(Table3[[#This Row],[Mois]],1))</f>
        <v>2060.467169155428</v>
      </c>
      <c r="P11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1512.2891691554282</v>
      </c>
      <c r="Q11" s="109">
        <v>365</v>
      </c>
      <c r="R11" s="109">
        <f>IF(Table3[[#This Row],[Bénéfice Net]]=0,0,Table3[[#This Row],[Bénéfice Net]]-Table3[[#This Row],[Frais fixes persos (mutuelle, retraite, vacances)]])</f>
        <v>1147.2891691554282</v>
      </c>
    </row>
    <row r="12" spans="1:18" x14ac:dyDescent="0.25">
      <c r="A12" s="108">
        <v>46296</v>
      </c>
      <c r="B12" s="109"/>
      <c r="C12" s="110"/>
      <c r="D12" s="111">
        <f>SUMIFS(Table1368[Prix de revente],Table1368[Date revente],"&gt;="&amp;Table3[[#This Row],[Mois]],Table1368[Date revente],"&lt;"&amp;EDATE(Table3[[#This Row],[Mois]],1))</f>
        <v>1362</v>
      </c>
      <c r="E12" s="109">
        <f>SUMIFS(Table1368[Prix total Achat],Table1368[Date achat],"&gt;="&amp;Table3[[#This Row],[Mois]],Table1368[Date achat],"&lt;"&amp;EDATE(Table3[[#This Row],[Mois]],1))</f>
        <v>94.97</v>
      </c>
      <c r="F12" s="112">
        <f>Table3[[#This Row],[Encaissements (CA)]]*0.062</f>
        <v>84.444</v>
      </c>
      <c r="G12" s="112">
        <f>Table3[[#This Row],[Encaissements (CA)]]*0.01</f>
        <v>13.620000000000001</v>
      </c>
      <c r="H12" s="109"/>
      <c r="I12" s="109">
        <f>(Table3[[#This Row],[Encaissements (CA)]]*0.29)*0.7</f>
        <v>276.48599999999993</v>
      </c>
      <c r="J12" s="109">
        <f>Dépenses!G12</f>
        <v>43.88</v>
      </c>
      <c r="K12" s="109"/>
      <c r="L12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236.914</v>
      </c>
      <c r="M12" s="112">
        <f>(Table3[[#This Row],[Trésorerie début de mois]]+Table3[[#This Row],[Encaissements (CA)]])-Table3[[#This Row],[Décaissements (total)]]</f>
        <v>1125.086</v>
      </c>
      <c r="N12" s="109"/>
      <c r="O12" s="113">
        <f>SUMIFS(Table1368[Bénéfice],Table1368[Date revente],"&gt;="&amp;Table3[[#This Row],[Mois]],Table1368[Date revente],"&lt;"&amp;EDATE(Table3[[#This Row],[Mois]],1))</f>
        <v>858.9435512565827</v>
      </c>
      <c r="P12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716.9995512565827</v>
      </c>
      <c r="Q12" s="109">
        <v>365</v>
      </c>
      <c r="R12" s="109">
        <f>IF(Table3[[#This Row],[Bénéfice Net]]=0,0,Table3[[#This Row],[Bénéfice Net]]-Table3[[#This Row],[Frais fixes persos (mutuelle, retraite, vacances)]])</f>
        <v>351.99955125658266</v>
      </c>
    </row>
    <row r="13" spans="1:18" x14ac:dyDescent="0.25">
      <c r="A13" s="108">
        <v>46327</v>
      </c>
      <c r="B13" s="109"/>
      <c r="C13" s="110"/>
      <c r="D13" s="111">
        <f>SUMIFS(Table1368[Prix de revente],Table1368[Date revente],"&gt;="&amp;Table3[[#This Row],[Mois]],Table1368[Date revente],"&lt;"&amp;EDATE(Table3[[#This Row],[Mois]],1))</f>
        <v>0</v>
      </c>
      <c r="E13" s="109">
        <f>SUMIFS(Table1368[Prix total Achat],Table1368[Date achat],"&gt;="&amp;Table3[[#This Row],[Mois]],Table1368[Date achat],"&lt;"&amp;EDATE(Table3[[#This Row],[Mois]],1))</f>
        <v>0</v>
      </c>
      <c r="F13" s="112">
        <f>Table3[[#This Row],[Encaissements (CA)]]*0.062</f>
        <v>0</v>
      </c>
      <c r="G13" s="112">
        <f>Table3[[#This Row],[Encaissements (CA)]]*0.01</f>
        <v>0</v>
      </c>
      <c r="H13" s="109"/>
      <c r="I13" s="109">
        <f>(Table3[[#This Row],[Encaissements (CA)]]*0.29)*0.7</f>
        <v>0</v>
      </c>
      <c r="J13" s="109">
        <f>Dépenses!G13</f>
        <v>0</v>
      </c>
      <c r="K13" s="109"/>
      <c r="L13" s="109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0</v>
      </c>
      <c r="M13" s="112">
        <f>(Table3[[#This Row],[Trésorerie début de mois]]+Table3[[#This Row],[Encaissements (CA)]])-Table3[[#This Row],[Décaissements (total)]]</f>
        <v>0</v>
      </c>
      <c r="N13" s="109"/>
      <c r="O13" s="113">
        <f>SUMIFS(Table1368[Bénéfice],Table1368[Date revente],"&gt;="&amp;Table3[[#This Row],[Mois]],Table1368[Date revente],"&lt;"&amp;EDATE(Table3[[#This Row],[Mois]],1))</f>
        <v>0</v>
      </c>
      <c r="P13" s="115">
        <f>Table3[[#This Row],[Bénéfice Brut]]-(Table3[[#This Row],[URSSAF]]+Table3[[#This Row],[Impots]]+Table3[[#This Row],[Dépenses (matériel, Vinted Bumps, Wardrobe)]]+Table3[[#This Row],[Frais pros fixes (compte PRO, assurance PRO, domiciliation)]])</f>
        <v>0</v>
      </c>
      <c r="Q13" s="109">
        <v>365</v>
      </c>
      <c r="R13" s="109">
        <f>IF(Table3[[#This Row],[Bénéfice Net]]=0,0,Table3[[#This Row],[Bénéfice Net]]-Table3[[#This Row],[Frais fixes persos (mutuelle, retraite, vacances)]])</f>
        <v>0</v>
      </c>
    </row>
    <row r="14" spans="1:18" x14ac:dyDescent="0.25">
      <c r="A14" s="116">
        <v>46357</v>
      </c>
      <c r="B14" s="117"/>
      <c r="C14" s="118"/>
      <c r="D14" s="111">
        <f>SUMIFS(Table1368[Prix de revente],Table1368[Date revente],"&gt;="&amp;Table3[[#This Row],[Mois]],Table1368[Date revente],"&lt;"&amp;EDATE(Table3[[#This Row],[Mois]],1))</f>
        <v>0</v>
      </c>
      <c r="E14" s="109">
        <f>SUMIFS(Table1368[Prix total Achat],Table1368[Date achat],"&gt;="&amp;Table3[[#This Row],[Mois]],Table1368[Date achat],"&lt;"&amp;EDATE(Table3[[#This Row],[Mois]],1))</f>
        <v>0</v>
      </c>
      <c r="F14" s="119">
        <f>Table3[[#This Row],[Encaissements (CA)]]*0.062</f>
        <v>0</v>
      </c>
      <c r="G14" s="119">
        <f>Table3[[#This Row],[Encaissements (CA)]]*0.01</f>
        <v>0</v>
      </c>
      <c r="H14" s="117"/>
      <c r="I14" s="117">
        <f>(Table3[[#This Row],[Encaissements (CA)]]*0.29)*0.7</f>
        <v>0</v>
      </c>
      <c r="J14" s="117">
        <f>Dépenses!G14</f>
        <v>0</v>
      </c>
      <c r="K14" s="117"/>
      <c r="L14" s="117">
        <f>SUM(Table3[[#This Row],[Achats]]+Table3[[#This Row],[URSSAF]]+Table3[[#This Row],[Impots]]+Table3[[#This Row],[CFE]]+Table3[[#This Row],[Dépenses (matériel, Vinted Bumps, Wardrobe)]]+Table3[[#This Row],[Frais pros fixes (compte PRO, assurance PRO, domiciliation)]])</f>
        <v>0</v>
      </c>
      <c r="M14" s="112">
        <f>(Table3[[#This Row],[Trésorerie début de mois]]+Table3[[#This Row],[Encaissements (CA)]])-Table3[[#This Row],[Décaissements (total)]]</f>
        <v>0</v>
      </c>
      <c r="N14" s="117"/>
      <c r="O14" s="113">
        <f>SUMIFS(Table1368[Bénéfice],Table1368[Date revente],"&gt;="&amp;Table3[[#This Row],[Mois]],Table1368[Date revente],"&lt;"&amp;EDATE(Table3[[#This Row],[Mois]],1))</f>
        <v>0</v>
      </c>
      <c r="P14" s="120">
        <f>Table3[[#This Row],[Bénéfice Brut]]-(Table3[[#This Row],[URSSAF]]+Table3[[#This Row],[Impots]]+Table3[[#This Row],[Dépenses (matériel, Vinted Bumps, Wardrobe)]]+Table3[[#This Row],[Frais pros fixes (compte PRO, assurance PRO, domiciliation)]])</f>
        <v>0</v>
      </c>
      <c r="Q14" s="109">
        <v>365</v>
      </c>
      <c r="R14" s="117">
        <f>IF(Table3[[#This Row],[Bénéfice Net]]=0,0,Table3[[#This Row],[Bénéfice Net]]-Table3[[#This Row],[Frais fixes persos (mutuelle, retraite, vacances)]])</f>
        <v>0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workbookViewId="0" zoomScale="100" zoomScaleNormal="100">
      <selection activeCell="B4" sqref="B4"/>
    </sheetView>
  </sheetViews>
  <sheetFormatPr defaultRowHeight="14.4" outlineLevelRow="0" outlineLevelCol="0" x14ac:dyDescent="0.3" customHeight="1"/>
  <cols>
    <col min="1" max="1" width="3.44140625" customWidth="1"/>
    <col min="2" max="2" width="36.6640625" customWidth="1"/>
    <col min="3" max="3" width="13.6640625" customWidth="1"/>
    <col min="4" max="5" width="12" customWidth="1"/>
    <col min="7" max="7" width="3.44140625" customWidth="1"/>
    <col min="8" max="8" width="24.88671875" customWidth="1"/>
    <col min="10" max="10" width="3.44140625" customWidth="1"/>
  </cols>
  <sheetData>
    <row r="1" ht="21" customHeight="1" spans="2:11" x14ac:dyDescent="0.25">
      <c r="B1" s="175" t="s">
        <v>1157</v>
      </c>
      <c r="K1" s="175" t="s">
        <v>1158</v>
      </c>
    </row>
    <row r="2" spans="2:9" x14ac:dyDescent="0.25">
      <c r="B2" t="s">
        <v>1159</v>
      </c>
      <c r="C2" t="s">
        <v>1160</v>
      </c>
      <c r="D2" t="s">
        <v>1161</v>
      </c>
      <c r="E2" t="s">
        <v>1162</v>
      </c>
      <c r="F2" t="s">
        <v>1163</v>
      </c>
      <c r="H2" s="176" t="s">
        <v>1164</v>
      </c>
      <c r="I2" s="109">
        <f>SUM(Table2[Prix d''origine])</f>
        <v>0</v>
      </c>
    </row>
    <row r="3" spans="2:9" x14ac:dyDescent="0.25">
      <c r="B3" s="177"/>
      <c r="C3" s="110"/>
      <c r="D3" s="109" t="e">
        <f>Table2[[#This Row],[Prix d''origine]]-(Table2[[#This Row],[Prix d''origine]]*$I$4)</f>
        <v>#DIV/0!</v>
      </c>
      <c r="E3" s="109" t="e">
        <f t="shared" ref="E3:E30" si="0">$I$8</f>
        <v>#DIV/0!</v>
      </c>
      <c r="F3" s="109" t="e">
        <f>Table2[[#This Row],[Prix remisé]]+$I$8</f>
        <v>#DIV/0!</v>
      </c>
      <c r="H3" s="176" t="s">
        <v>1165</v>
      </c>
      <c r="I3" s="110">
        <v>40</v>
      </c>
    </row>
    <row r="4" spans="2:9" x14ac:dyDescent="0.25">
      <c r="B4" s="177"/>
      <c r="C4" s="110"/>
      <c r="D4" s="109" t="e">
        <f>Table2[[#This Row],[Prix d''origine]]-(Table2[[#This Row],[Prix d''origine]]*$I$4)</f>
        <v>#DIV/0!</v>
      </c>
      <c r="E4" s="109" t="e">
        <f t="shared" si="0"/>
        <v>#DIV/0!</v>
      </c>
      <c r="F4" s="109" t="e">
        <f>Table2[[#This Row],[Prix remisé]]+$I$8</f>
        <v>#DIV/0!</v>
      </c>
      <c r="H4" s="176" t="s">
        <v>1166</v>
      </c>
      <c r="I4" s="178" t="e">
        <f>(I2-I3)/I2</f>
        <v>#DIV/0!</v>
      </c>
    </row>
    <row r="5" spans="2:9" x14ac:dyDescent="0.25">
      <c r="B5" s="177"/>
      <c r="C5" s="110"/>
      <c r="D5" s="109" t="e">
        <f>Table2[[#This Row],[Prix d''origine]]-(Table2[[#This Row],[Prix d''origine]]*$I$4)</f>
        <v>#DIV/0!</v>
      </c>
      <c r="E5" s="109" t="e">
        <f t="shared" si="0"/>
        <v>#DIV/0!</v>
      </c>
      <c r="F5" s="109" t="e">
        <f>Table2[[#This Row],[Prix remisé]]+$I$8</f>
        <v>#DIV/0!</v>
      </c>
      <c r="H5" s="176" t="s">
        <v>1167</v>
      </c>
      <c r="I5" s="179">
        <f>COUNTA(Table2[Articles])</f>
        <v>0</v>
      </c>
    </row>
    <row r="6" spans="2:9" x14ac:dyDescent="0.25">
      <c r="B6" s="177"/>
      <c r="C6" s="110"/>
      <c r="D6" s="109" t="e">
        <f>Table2[[#This Row],[Prix d''origine]]-(Table2[[#This Row],[Prix d''origine]]*$I$4)</f>
        <v>#DIV/0!</v>
      </c>
      <c r="E6" s="109" t="e">
        <f t="shared" si="0"/>
        <v>#DIV/0!</v>
      </c>
      <c r="F6" s="109" t="e">
        <f>Table2[[#This Row],[Prix remisé]]+$I$8</f>
        <v>#DIV/0!</v>
      </c>
      <c r="H6" s="176" t="s">
        <v>1168</v>
      </c>
      <c r="I6" s="110">
        <v>48.69</v>
      </c>
    </row>
    <row r="7" spans="2:9" x14ac:dyDescent="0.25">
      <c r="B7" s="177"/>
      <c r="C7" s="110"/>
      <c r="D7" s="109" t="e">
        <f>Table2[[#This Row],[Prix d''origine]]-(Table2[[#This Row],[Prix d''origine]]*$I$4)</f>
        <v>#DIV/0!</v>
      </c>
      <c r="E7" s="109" t="e">
        <f t="shared" si="0"/>
        <v>#DIV/0!</v>
      </c>
      <c r="F7" s="109" t="e">
        <f>Table2[[#This Row],[Prix remisé]]+$I$8</f>
        <v>#DIV/0!</v>
      </c>
      <c r="H7" s="176" t="s">
        <v>1169</v>
      </c>
      <c r="I7" s="109">
        <f>I6-I3</f>
        <v>8.689999999999998</v>
      </c>
    </row>
    <row r="8" spans="2:9" x14ac:dyDescent="0.25">
      <c r="B8" s="177"/>
      <c r="C8" s="110"/>
      <c r="D8" s="109" t="e">
        <f>Table2[[#This Row],[Prix d''origine]]-(Table2[[#This Row],[Prix d''origine]]*$I$4)</f>
        <v>#DIV/0!</v>
      </c>
      <c r="E8" s="109" t="e">
        <f t="shared" si="0"/>
        <v>#DIV/0!</v>
      </c>
      <c r="F8" s="109" t="e">
        <f>Table2[[#This Row],[Prix remisé]]+$I$8</f>
        <v>#DIV/0!</v>
      </c>
      <c r="H8" s="176" t="s">
        <v>1170</v>
      </c>
      <c r="I8" s="109" t="e">
        <f>I7/I5</f>
        <v>#DIV/0!</v>
      </c>
    </row>
    <row r="9" spans="2:6" x14ac:dyDescent="0.25">
      <c r="B9" s="177"/>
      <c r="C9" s="110"/>
      <c r="D9" s="109" t="e">
        <f>Table2[[#This Row],[Prix d''origine]]-(Table2[[#This Row],[Prix d''origine]]*$I$4)</f>
        <v>#DIV/0!</v>
      </c>
      <c r="E9" s="109" t="e">
        <f t="shared" si="0"/>
        <v>#DIV/0!</v>
      </c>
      <c r="F9" s="109" t="e">
        <f>Table2[[#This Row],[Prix remisé]]+$I$8</f>
        <v>#DIV/0!</v>
      </c>
    </row>
    <row r="10" spans="2:6" x14ac:dyDescent="0.25">
      <c r="B10" s="177"/>
      <c r="C10" s="110"/>
      <c r="D10" s="109" t="e">
        <f>Table2[[#This Row],[Prix d''origine]]-(Table2[[#This Row],[Prix d''origine]]*$I$4)</f>
        <v>#DIV/0!</v>
      </c>
      <c r="E10" s="109" t="e">
        <f t="shared" si="0"/>
        <v>#DIV/0!</v>
      </c>
      <c r="F10" s="109" t="e">
        <f>Table2[[#This Row],[Prix remisé]]+$I$8</f>
        <v>#DIV/0!</v>
      </c>
    </row>
    <row r="11" spans="2:6" x14ac:dyDescent="0.25">
      <c r="B11" s="177"/>
      <c r="C11" s="110"/>
      <c r="D11" s="109" t="e">
        <f>Table2[[#This Row],[Prix d''origine]]-(Table2[[#This Row],[Prix d''origine]]*$I$4)</f>
        <v>#DIV/0!</v>
      </c>
      <c r="E11" s="109" t="e">
        <f t="shared" si="0"/>
        <v>#DIV/0!</v>
      </c>
      <c r="F11" s="109" t="e">
        <f>Table2[[#This Row],[Prix remisé]]+$I$8</f>
        <v>#DIV/0!</v>
      </c>
    </row>
    <row r="12" spans="2:6" x14ac:dyDescent="0.25">
      <c r="B12" s="177"/>
      <c r="C12" s="110"/>
      <c r="D12" s="109" t="e">
        <f>Table2[[#This Row],[Prix d''origine]]-(Table2[[#This Row],[Prix d''origine]]*$I$4)</f>
        <v>#DIV/0!</v>
      </c>
      <c r="E12" s="109" t="e">
        <f t="shared" si="0"/>
        <v>#DIV/0!</v>
      </c>
      <c r="F12" s="109" t="e">
        <f>Table2[[#This Row],[Prix remisé]]+$I$8</f>
        <v>#DIV/0!</v>
      </c>
    </row>
    <row r="13" spans="2:6" x14ac:dyDescent="0.25">
      <c r="B13" s="177"/>
      <c r="C13" s="110"/>
      <c r="D13" s="109" t="e">
        <f>Table2[[#This Row],[Prix d''origine]]-(Table2[[#This Row],[Prix d''origine]]*$I$4)</f>
        <v>#DIV/0!</v>
      </c>
      <c r="E13" s="109" t="e">
        <f t="shared" si="0"/>
        <v>#DIV/0!</v>
      </c>
      <c r="F13" s="109" t="e">
        <f>Table2[[#This Row],[Prix remisé]]+$I$8</f>
        <v>#DIV/0!</v>
      </c>
    </row>
    <row r="14" spans="2:6" x14ac:dyDescent="0.25">
      <c r="B14" s="177"/>
      <c r="C14" s="110"/>
      <c r="D14" s="109" t="e">
        <f>Table2[[#This Row],[Prix d''origine]]-(Table2[[#This Row],[Prix d''origine]]*$I$4)</f>
        <v>#DIV/0!</v>
      </c>
      <c r="E14" s="109" t="e">
        <f t="shared" si="0"/>
        <v>#DIV/0!</v>
      </c>
      <c r="F14" s="109" t="e">
        <f>Table2[[#This Row],[Prix remisé]]+$I$8</f>
        <v>#DIV/0!</v>
      </c>
    </row>
    <row r="15" spans="2:6" x14ac:dyDescent="0.25">
      <c r="B15" s="177"/>
      <c r="C15" s="110"/>
      <c r="D15" s="109" t="e">
        <f>Table2[[#This Row],[Prix d''origine]]-(Table2[[#This Row],[Prix d''origine]]*$I$4)</f>
        <v>#DIV/0!</v>
      </c>
      <c r="E15" s="109" t="e">
        <f t="shared" si="0"/>
        <v>#DIV/0!</v>
      </c>
      <c r="F15" s="109" t="e">
        <f>Table2[[#This Row],[Prix remisé]]+$I$8</f>
        <v>#DIV/0!</v>
      </c>
    </row>
    <row r="16" spans="2:6" x14ac:dyDescent="0.25">
      <c r="B16" s="177"/>
      <c r="C16" s="110"/>
      <c r="D16" s="109" t="e">
        <f>Table2[[#This Row],[Prix d''origine]]-(Table2[[#This Row],[Prix d''origine]]*$I$4)</f>
        <v>#DIV/0!</v>
      </c>
      <c r="E16" s="109" t="e">
        <f t="shared" si="0"/>
        <v>#DIV/0!</v>
      </c>
      <c r="F16" s="109" t="e">
        <f>Table2[[#This Row],[Prix remisé]]+$I$8</f>
        <v>#DIV/0!</v>
      </c>
    </row>
    <row r="17" spans="2:6" x14ac:dyDescent="0.25">
      <c r="B17" s="177"/>
      <c r="C17" s="110"/>
      <c r="D17" s="109" t="e">
        <f>Table2[[#This Row],[Prix d''origine]]-(Table2[[#This Row],[Prix d''origine]]*$I$4)</f>
        <v>#DIV/0!</v>
      </c>
      <c r="E17" s="109" t="e">
        <f t="shared" si="0"/>
        <v>#DIV/0!</v>
      </c>
      <c r="F17" s="109" t="e">
        <f>Table2[[#This Row],[Prix remisé]]+$I$8</f>
        <v>#DIV/0!</v>
      </c>
    </row>
    <row r="18" spans="2:6" x14ac:dyDescent="0.25">
      <c r="B18" s="177"/>
      <c r="C18" s="110"/>
      <c r="D18" s="109" t="e">
        <f>Table2[[#This Row],[Prix d''origine]]-(Table2[[#This Row],[Prix d''origine]]*$I$4)</f>
        <v>#DIV/0!</v>
      </c>
      <c r="E18" s="109" t="e">
        <f t="shared" si="0"/>
        <v>#DIV/0!</v>
      </c>
      <c r="F18" s="109" t="e">
        <f>Table2[[#This Row],[Prix remisé]]+$I$8</f>
        <v>#DIV/0!</v>
      </c>
    </row>
    <row r="19" spans="2:6" x14ac:dyDescent="0.25">
      <c r="B19" s="177"/>
      <c r="C19" s="110"/>
      <c r="D19" s="109" t="e">
        <f>Table2[[#This Row],[Prix d''origine]]-(Table2[[#This Row],[Prix d''origine]]*$I$4)</f>
        <v>#DIV/0!</v>
      </c>
      <c r="E19" s="109" t="e">
        <f t="shared" si="0"/>
        <v>#DIV/0!</v>
      </c>
      <c r="F19" s="109" t="e">
        <f>Table2[[#This Row],[Prix remisé]]+$I$8</f>
        <v>#DIV/0!</v>
      </c>
    </row>
    <row r="20" spans="2:6" x14ac:dyDescent="0.25">
      <c r="B20" s="177"/>
      <c r="C20" s="110"/>
      <c r="D20" s="109" t="e">
        <f>Table2[[#This Row],[Prix d''origine]]-(Table2[[#This Row],[Prix d''origine]]*$I$4)</f>
        <v>#DIV/0!</v>
      </c>
      <c r="E20" s="109" t="e">
        <f t="shared" si="0"/>
        <v>#DIV/0!</v>
      </c>
      <c r="F20" s="109" t="e">
        <f>Table2[[#This Row],[Prix remisé]]+$I$8</f>
        <v>#DIV/0!</v>
      </c>
    </row>
    <row r="21" spans="2:6" x14ac:dyDescent="0.25">
      <c r="B21" s="177"/>
      <c r="C21" s="110"/>
      <c r="D21" s="109" t="e">
        <f>Table2[[#This Row],[Prix d''origine]]-(Table2[[#This Row],[Prix d''origine]]*$I$4)</f>
        <v>#DIV/0!</v>
      </c>
      <c r="E21" s="109" t="e">
        <f t="shared" si="0"/>
        <v>#DIV/0!</v>
      </c>
      <c r="F21" s="109" t="e">
        <f>Table2[[#This Row],[Prix remisé]]+$I$8</f>
        <v>#DIV/0!</v>
      </c>
    </row>
    <row r="22" spans="2:6" x14ac:dyDescent="0.25">
      <c r="B22" s="177"/>
      <c r="C22" s="110"/>
      <c r="D22" s="109" t="e">
        <f>Table2[[#This Row],[Prix d''origine]]-(Table2[[#This Row],[Prix d''origine]]*$I$4)</f>
        <v>#DIV/0!</v>
      </c>
      <c r="E22" s="109" t="e">
        <f t="shared" si="0"/>
        <v>#DIV/0!</v>
      </c>
      <c r="F22" s="109" t="e">
        <f>Table2[[#This Row],[Prix remisé]]+$I$8</f>
        <v>#DIV/0!</v>
      </c>
    </row>
    <row r="23" spans="2:6" x14ac:dyDescent="0.25">
      <c r="B23" s="177"/>
      <c r="C23" s="110"/>
      <c r="D23" s="109" t="e">
        <f>Table2[[#This Row],[Prix d''origine]]-(Table2[[#This Row],[Prix d''origine]]*$I$4)</f>
        <v>#DIV/0!</v>
      </c>
      <c r="E23" s="109" t="e">
        <f t="shared" si="0"/>
        <v>#DIV/0!</v>
      </c>
      <c r="F23" s="109" t="e">
        <f>Table2[[#This Row],[Prix remisé]]+$I$8</f>
        <v>#DIV/0!</v>
      </c>
    </row>
    <row r="24" spans="2:6" x14ac:dyDescent="0.25">
      <c r="B24" s="177"/>
      <c r="C24" s="110"/>
      <c r="D24" s="109" t="e">
        <f>Table2[[#This Row],[Prix d''origine]]-(Table2[[#This Row],[Prix d''origine]]*$I$4)</f>
        <v>#DIV/0!</v>
      </c>
      <c r="E24" s="109" t="e">
        <f t="shared" si="0"/>
        <v>#DIV/0!</v>
      </c>
      <c r="F24" s="109" t="e">
        <f>Table2[[#This Row],[Prix remisé]]+$I$8</f>
        <v>#DIV/0!</v>
      </c>
    </row>
    <row r="25" spans="2:6" x14ac:dyDescent="0.25">
      <c r="B25" s="177"/>
      <c r="C25" s="110"/>
      <c r="D25" s="109" t="e">
        <f>Table2[[#This Row],[Prix d''origine]]-(Table2[[#This Row],[Prix d''origine]]*$I$4)</f>
        <v>#DIV/0!</v>
      </c>
      <c r="E25" s="109" t="e">
        <f t="shared" si="0"/>
        <v>#DIV/0!</v>
      </c>
      <c r="F25" s="109" t="e">
        <f>Table2[[#This Row],[Prix remisé]]+$I$8</f>
        <v>#DIV/0!</v>
      </c>
    </row>
    <row r="26" spans="2:6" x14ac:dyDescent="0.25">
      <c r="B26" s="177"/>
      <c r="C26" s="110"/>
      <c r="D26" s="109" t="e">
        <f>Table2[[#This Row],[Prix d''origine]]-(Table2[[#This Row],[Prix d''origine]]*$I$4)</f>
        <v>#DIV/0!</v>
      </c>
      <c r="E26" s="109" t="e">
        <f t="shared" si="0"/>
        <v>#DIV/0!</v>
      </c>
      <c r="F26" s="109" t="e">
        <f>Table2[[#This Row],[Prix remisé]]+$I$8</f>
        <v>#DIV/0!</v>
      </c>
    </row>
    <row r="27" spans="2:6" x14ac:dyDescent="0.25">
      <c r="B27" s="177"/>
      <c r="C27" s="110"/>
      <c r="D27" s="109" t="e">
        <f>Table2[[#This Row],[Prix d''origine]]-(Table2[[#This Row],[Prix d''origine]]*$I$4)</f>
        <v>#DIV/0!</v>
      </c>
      <c r="E27" s="109" t="e">
        <f t="shared" si="0"/>
        <v>#DIV/0!</v>
      </c>
      <c r="F27" s="109" t="e">
        <f>Table2[[#This Row],[Prix remisé]]+$I$8</f>
        <v>#DIV/0!</v>
      </c>
    </row>
    <row r="28" spans="2:6" x14ac:dyDescent="0.25">
      <c r="B28" s="177"/>
      <c r="C28" s="110"/>
      <c r="D28" s="109" t="e">
        <f>Table2[[#This Row],[Prix d''origine]]-(Table2[[#This Row],[Prix d''origine]]*$I$4)</f>
        <v>#DIV/0!</v>
      </c>
      <c r="E28" s="109" t="e">
        <f t="shared" si="0"/>
        <v>#DIV/0!</v>
      </c>
      <c r="F28" s="109" t="e">
        <f>Table2[[#This Row],[Prix remisé]]+$I$8</f>
        <v>#DIV/0!</v>
      </c>
    </row>
    <row r="29" spans="2:6" x14ac:dyDescent="0.25">
      <c r="B29" s="177"/>
      <c r="C29" s="110"/>
      <c r="D29" s="109" t="e">
        <f>Table2[[#This Row],[Prix d''origine]]-(Table2[[#This Row],[Prix d''origine]]*$I$4)</f>
        <v>#DIV/0!</v>
      </c>
      <c r="E29" s="109" t="e">
        <f t="shared" si="0"/>
        <v>#DIV/0!</v>
      </c>
      <c r="F29" s="109" t="e">
        <f>Table2[[#This Row],[Prix remisé]]+$I$8</f>
        <v>#DIV/0!</v>
      </c>
    </row>
    <row r="30" spans="2:6" x14ac:dyDescent="0.25">
      <c r="B30" s="177"/>
      <c r="C30" s="110"/>
      <c r="D30" s="109" t="e">
        <f>Table2[[#This Row],[Prix d''origine]]-(Table2[[#This Row],[Prix d''origine]]*$I$4)</f>
        <v>#DIV/0!</v>
      </c>
      <c r="E30" s="109" t="e">
        <f t="shared" si="0"/>
        <v>#DIV/0!</v>
      </c>
      <c r="F30" s="109" t="e">
        <f>Table2[[#This Row],[Prix remisé]]+$I$8</f>
        <v>#DIV/0!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6"/>
  <sheetViews>
    <sheetView workbookViewId="0" zoomScale="100" zoomScaleNormal="100">
      <selection activeCell="G27" sqref="G27"/>
    </sheetView>
  </sheetViews>
  <sheetFormatPr defaultRowHeight="14.4" outlineLevelRow="0" outlineLevelCol="0" x14ac:dyDescent="0.3" customHeight="1"/>
  <cols>
    <col min="2" max="2" width="10.33203125" customWidth="1"/>
    <col min="3" max="3" width="13.33203125" customWidth="1"/>
    <col min="4" max="4" width="12" customWidth="1"/>
    <col min="5" max="5" width="17.33203125" customWidth="1"/>
    <col min="6" max="6" width="11" customWidth="1"/>
    <col min="7" max="7" width="29.33203125" customWidth="1"/>
  </cols>
  <sheetData>
    <row r="2" ht="43.2" customHeight="1" spans="2:7" s="1" customFormat="1" x14ac:dyDescent="0.25">
      <c r="B2" s="180" t="s">
        <v>1171</v>
      </c>
      <c r="C2" s="180" t="s">
        <v>1172</v>
      </c>
      <c r="D2" s="180" t="s">
        <v>1173</v>
      </c>
      <c r="E2" s="180" t="s">
        <v>1174</v>
      </c>
      <c r="F2" s="180" t="s">
        <v>1175</v>
      </c>
      <c r="G2" s="180" t="s">
        <v>1176</v>
      </c>
    </row>
    <row r="3" spans="2:7" x14ac:dyDescent="0.25">
      <c r="B3" s="181">
        <v>320</v>
      </c>
      <c r="C3" s="161">
        <f>Table4[[#This Row],[Prix listé]]*0.15</f>
        <v>48</v>
      </c>
      <c r="D3" s="161">
        <v>5</v>
      </c>
      <c r="E3" s="181">
        <f>Table4[[#This Row],[Prix listé]]-(Table4[[#This Row],[Comissions vendeur]]+Table4[[#This Row],[Frais fixes acheteur]])</f>
        <v>267</v>
      </c>
      <c r="F3" s="161">
        <f>Table4[[#This Row],[Prix listé]]*0.15</f>
        <v>48</v>
      </c>
      <c r="G3" s="182">
        <f>Table4[[#This Row],[Prix listé]]+Table4[[#This Row],[Frais acheteur]]</f>
        <v>368</v>
      </c>
    </row>
    <row r="4" spans="2:7" x14ac:dyDescent="0.25">
      <c r="B4" s="181">
        <v>140</v>
      </c>
      <c r="C4" s="161">
        <f>Table4[[#This Row],[Prix listé]]*0.15</f>
        <v>21</v>
      </c>
      <c r="D4" s="161">
        <v>5</v>
      </c>
      <c r="E4" s="181">
        <f>Table4[[#This Row],[Prix listé]]-(Table4[[#This Row],[Comissions vendeur]]+Table4[[#This Row],[Frais fixes acheteur]])</f>
        <v>114</v>
      </c>
      <c r="F4" s="161">
        <f>Table4[[#This Row],[Prix listé]]*0.15</f>
        <v>21</v>
      </c>
      <c r="G4" s="182">
        <f>Table4[[#This Row],[Prix listé]]+Table4[[#This Row],[Frais acheteur]]</f>
        <v>161</v>
      </c>
    </row>
    <row r="5" spans="2:7" x14ac:dyDescent="0.25">
      <c r="B5" s="181"/>
      <c r="C5" s="161">
        <f>Table4[[#This Row],[Prix listé]]*0.15</f>
        <v>0</v>
      </c>
      <c r="D5" s="161">
        <v>5</v>
      </c>
      <c r="E5" s="181">
        <f>Table4[[#This Row],[Prix listé]]-(Table4[[#This Row],[Comissions vendeur]]+Table4[[#This Row],[Frais fixes acheteur]])</f>
        <v>-5</v>
      </c>
      <c r="F5" s="161">
        <f>Table4[[#This Row],[Prix listé]]*0.15</f>
        <v>0</v>
      </c>
      <c r="G5" s="182">
        <f>Table4[[#This Row],[Prix listé]]+Table4[[#This Row],[Frais acheteur]]</f>
        <v>0</v>
      </c>
    </row>
    <row r="6" spans="2:7" x14ac:dyDescent="0.25">
      <c r="B6" s="181"/>
      <c r="C6" s="161">
        <f>Table4[[#This Row],[Prix listé]]*0.15</f>
        <v>0</v>
      </c>
      <c r="D6" s="161">
        <v>5</v>
      </c>
      <c r="E6" s="181">
        <f>Table4[[#This Row],[Prix listé]]-(Table4[[#This Row],[Comissions vendeur]]+Table4[[#This Row],[Frais fixes acheteur]])</f>
        <v>-5</v>
      </c>
      <c r="F6" s="161">
        <f>Table4[[#This Row],[Prix listé]]*0.15</f>
        <v>0</v>
      </c>
      <c r="G6" s="182">
        <f>Table4[[#This Row],[Prix listé]]+Table4[[#This Row],[Frais acheteur]]</f>
        <v>0</v>
      </c>
    </row>
    <row r="7" spans="2:7" x14ac:dyDescent="0.25">
      <c r="B7" s="181"/>
      <c r="C7" s="161">
        <f>Table4[[#This Row],[Prix listé]]*0.15</f>
        <v>0</v>
      </c>
      <c r="D7" s="161">
        <v>5</v>
      </c>
      <c r="E7" s="181">
        <f>Table4[[#This Row],[Prix listé]]-(Table4[[#This Row],[Comissions vendeur]]+Table4[[#This Row],[Frais fixes acheteur]])</f>
        <v>-5</v>
      </c>
      <c r="F7" s="161">
        <f>Table4[[#This Row],[Prix listé]]*0.15</f>
        <v>0</v>
      </c>
      <c r="G7" s="182">
        <f>Table4[[#This Row],[Prix listé]]+Table4[[#This Row],[Frais acheteur]]</f>
        <v>0</v>
      </c>
    </row>
    <row r="8" spans="2:7" x14ac:dyDescent="0.25">
      <c r="B8" s="181"/>
      <c r="C8" s="161">
        <f>Table4[[#This Row],[Prix listé]]*0.15</f>
        <v>0</v>
      </c>
      <c r="D8" s="161">
        <v>5</v>
      </c>
      <c r="E8" s="181">
        <f>Table4[[#This Row],[Prix listé]]-(Table4[[#This Row],[Comissions vendeur]]+Table4[[#This Row],[Frais fixes acheteur]])</f>
        <v>-5</v>
      </c>
      <c r="F8" s="161">
        <f>Table4[[#This Row],[Prix listé]]*0.15</f>
        <v>0</v>
      </c>
      <c r="G8" s="182">
        <f>Table4[[#This Row],[Prix listé]]+Table4[[#This Row],[Frais acheteur]]</f>
        <v>0</v>
      </c>
    </row>
    <row r="9" spans="2:7" x14ac:dyDescent="0.25">
      <c r="B9" s="181"/>
      <c r="C9" s="161">
        <f>Table4[[#This Row],[Prix listé]]*0.15</f>
        <v>0</v>
      </c>
      <c r="D9" s="161">
        <v>5</v>
      </c>
      <c r="E9" s="181">
        <f>Table4[[#This Row],[Prix listé]]-(Table4[[#This Row],[Comissions vendeur]]+Table4[[#This Row],[Frais fixes acheteur]])</f>
        <v>-5</v>
      </c>
      <c r="F9" s="161">
        <f>Table4[[#This Row],[Prix listé]]*0.15</f>
        <v>0</v>
      </c>
      <c r="G9" s="182">
        <f>Table4[[#This Row],[Prix listé]]+Table4[[#This Row],[Frais acheteur]]</f>
        <v>0</v>
      </c>
    </row>
    <row r="10" spans="2:7" x14ac:dyDescent="0.25">
      <c r="B10" s="181"/>
      <c r="C10" s="161">
        <f>Table4[[#This Row],[Prix listé]]*0.15</f>
        <v>0</v>
      </c>
      <c r="D10" s="161">
        <v>5</v>
      </c>
      <c r="E10" s="181">
        <f>Table4[[#This Row],[Prix listé]]-(Table4[[#This Row],[Comissions vendeur]]+Table4[[#This Row],[Frais fixes acheteur]])</f>
        <v>-5</v>
      </c>
      <c r="F10" s="161">
        <f>Table4[[#This Row],[Prix listé]]*0.15</f>
        <v>0</v>
      </c>
      <c r="G10" s="182">
        <f>Table4[[#This Row],[Prix listé]]+Table4[[#This Row],[Frais acheteur]]</f>
        <v>0</v>
      </c>
    </row>
    <row r="11" spans="2:7" x14ac:dyDescent="0.25">
      <c r="B11" s="181"/>
      <c r="C11" s="161">
        <f>Table4[[#This Row],[Prix listé]]*0.15</f>
        <v>0</v>
      </c>
      <c r="D11" s="161">
        <v>5</v>
      </c>
      <c r="E11" s="181">
        <f>Table4[[#This Row],[Prix listé]]-(Table4[[#This Row],[Comissions vendeur]]+Table4[[#This Row],[Frais fixes acheteur]])</f>
        <v>-5</v>
      </c>
      <c r="F11" s="161">
        <f>Table4[[#This Row],[Prix listé]]*0.15</f>
        <v>0</v>
      </c>
      <c r="G11" s="182">
        <f>Table4[[#This Row],[Prix listé]]+Table4[[#This Row],[Frais acheteur]]</f>
        <v>0</v>
      </c>
    </row>
    <row r="12" spans="2:7" x14ac:dyDescent="0.25">
      <c r="B12" s="181"/>
      <c r="C12" s="161">
        <f>Table4[[#This Row],[Prix listé]]*0.15</f>
        <v>0</v>
      </c>
      <c r="D12" s="161">
        <v>5</v>
      </c>
      <c r="E12" s="181">
        <f>Table4[[#This Row],[Prix listé]]-(Table4[[#This Row],[Comissions vendeur]]+Table4[[#This Row],[Frais fixes acheteur]])</f>
        <v>-5</v>
      </c>
      <c r="F12" s="161">
        <f>Table4[[#This Row],[Prix listé]]*0.15</f>
        <v>0</v>
      </c>
      <c r="G12" s="182">
        <f>Table4[[#This Row],[Prix listé]]+Table4[[#This Row],[Frais acheteur]]</f>
        <v>0</v>
      </c>
    </row>
    <row r="13" spans="2:7" x14ac:dyDescent="0.25">
      <c r="B13" s="181"/>
      <c r="C13" s="161">
        <f>Table4[[#This Row],[Prix listé]]*0.15</f>
        <v>0</v>
      </c>
      <c r="D13" s="161">
        <v>5</v>
      </c>
      <c r="E13" s="181">
        <f>Table4[[#This Row],[Prix listé]]-(Table4[[#This Row],[Comissions vendeur]]+Table4[[#This Row],[Frais fixes acheteur]])</f>
        <v>-5</v>
      </c>
      <c r="F13" s="161">
        <f>Table4[[#This Row],[Prix listé]]*0.15</f>
        <v>0</v>
      </c>
      <c r="G13" s="182">
        <f>Table4[[#This Row],[Prix listé]]+Table4[[#This Row],[Frais acheteur]]</f>
        <v>0</v>
      </c>
    </row>
    <row r="14" spans="2:16" x14ac:dyDescent="0.25">
      <c r="B14" s="181"/>
      <c r="C14" s="161">
        <f>Table4[[#This Row],[Prix listé]]*0.15</f>
        <v>0</v>
      </c>
      <c r="D14" s="161">
        <v>5</v>
      </c>
      <c r="E14" s="181">
        <f>Table4[[#This Row],[Prix listé]]-(Table4[[#This Row],[Comissions vendeur]]+Table4[[#This Row],[Frais fixes acheteur]])</f>
        <v>-5</v>
      </c>
      <c r="F14" s="161">
        <f>Table4[[#This Row],[Prix listé]]*0.15</f>
        <v>0</v>
      </c>
      <c r="G14" s="182">
        <f>Table4[[#This Row],[Prix listé]]+Table4[[#This Row],[Frais acheteur]]</f>
        <v>0</v>
      </c>
      <c r="P14" s="183"/>
    </row>
    <row r="15" spans="2:7" x14ac:dyDescent="0.25">
      <c r="B15" s="181"/>
      <c r="C15" s="161">
        <f>Table4[[#This Row],[Prix listé]]*0.15</f>
        <v>0</v>
      </c>
      <c r="D15" s="161">
        <v>5</v>
      </c>
      <c r="E15" s="181">
        <f>Table4[[#This Row],[Prix listé]]-(Table4[[#This Row],[Comissions vendeur]]+Table4[[#This Row],[Frais fixes acheteur]])</f>
        <v>-5</v>
      </c>
      <c r="F15" s="161">
        <f>Table4[[#This Row],[Prix listé]]*0.15</f>
        <v>0</v>
      </c>
      <c r="G15" s="182">
        <f>Table4[[#This Row],[Prix listé]]+Table4[[#This Row],[Frais acheteur]]</f>
        <v>0</v>
      </c>
    </row>
    <row r="16" spans="2:7" x14ac:dyDescent="0.25">
      <c r="B16" s="181"/>
      <c r="C16" s="161">
        <f>Table4[[#This Row],[Prix listé]]*0.15</f>
        <v>0</v>
      </c>
      <c r="D16" s="161">
        <v>5</v>
      </c>
      <c r="E16" s="181">
        <f>Table4[[#This Row],[Prix listé]]-(Table4[[#This Row],[Comissions vendeur]]+Table4[[#This Row],[Frais fixes acheteur]])</f>
        <v>-5</v>
      </c>
      <c r="F16" s="161">
        <f>Table4[[#This Row],[Prix listé]]*0.15</f>
        <v>0</v>
      </c>
      <c r="G16" s="182">
        <f>Table4[[#This Row],[Prix listé]]+Table4[[#This Row],[Frais acheteur]]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 zoomScale="100" zoomScaleNormal="100">
      <selection activeCell="A3" sqref="A3"/>
    </sheetView>
  </sheetViews>
  <sheetFormatPr defaultRowHeight="14.4" outlineLevelRow="0" outlineLevelCol="0" x14ac:dyDescent="0.3" customHeight="1"/>
  <cols>
    <col min="1" max="1" width="17.5546875" customWidth="1"/>
    <col min="2" max="4" width="12.5546875" customWidth="1"/>
    <col min="5" max="5" width="12.44140625" customWidth="1"/>
    <col min="6" max="6" width="4.5546875" customWidth="1"/>
    <col min="7" max="7" width="22.5546875" customWidth="1"/>
    <col min="8" max="8" width="10.33203125" customWidth="1"/>
  </cols>
  <sheetData>
    <row r="1" ht="28.8" customHeight="1" spans="1:1" s="121" customFormat="1" x14ac:dyDescent="0.25">
      <c r="A1" s="122" t="s">
        <v>82</v>
      </c>
    </row>
    <row r="2" ht="60" customHeight="1" spans="1:8" x14ac:dyDescent="0.25">
      <c r="A2" s="123" t="s">
        <v>83</v>
      </c>
      <c r="B2" s="123" t="s">
        <v>84</v>
      </c>
      <c r="C2" s="123" t="s">
        <v>85</v>
      </c>
      <c r="D2" s="123" t="s">
        <v>86</v>
      </c>
      <c r="E2" s="123" t="s">
        <v>87</v>
      </c>
      <c r="G2" s="123" t="s">
        <v>88</v>
      </c>
      <c r="H2" s="123" t="s">
        <v>89</v>
      </c>
    </row>
    <row r="3" spans="1:8" x14ac:dyDescent="0.25">
      <c r="A3" s="124" t="s">
        <v>90</v>
      </c>
      <c r="B3" s="125" t="s">
        <v>91</v>
      </c>
      <c r="C3" s="125" t="s">
        <v>92</v>
      </c>
      <c r="D3" s="125" t="s">
        <v>93</v>
      </c>
      <c r="E3" s="124" t="s">
        <v>94</v>
      </c>
      <c r="G3" s="125" t="s">
        <v>95</v>
      </c>
      <c r="H3" s="124" t="s">
        <v>96</v>
      </c>
    </row>
    <row r="4" spans="1:8" x14ac:dyDescent="0.25">
      <c r="A4" s="124" t="s">
        <v>97</v>
      </c>
      <c r="B4" s="125" t="s">
        <v>98</v>
      </c>
      <c r="C4" s="125" t="s">
        <v>99</v>
      </c>
      <c r="D4" s="125" t="s">
        <v>100</v>
      </c>
      <c r="E4" s="124" t="s">
        <v>101</v>
      </c>
      <c r="G4" s="125" t="s">
        <v>102</v>
      </c>
      <c r="H4" s="124" t="s">
        <v>103</v>
      </c>
    </row>
    <row r="5" spans="1:8" x14ac:dyDescent="0.25">
      <c r="A5" s="124" t="s">
        <v>104</v>
      </c>
      <c r="B5" s="125" t="s">
        <v>105</v>
      </c>
      <c r="C5" s="125" t="s">
        <v>106</v>
      </c>
      <c r="D5" s="125" t="s">
        <v>107</v>
      </c>
      <c r="E5" s="124" t="s">
        <v>108</v>
      </c>
      <c r="G5" s="125" t="s">
        <v>109</v>
      </c>
      <c r="H5" s="124" t="s">
        <v>110</v>
      </c>
    </row>
    <row r="6" spans="1:5" x14ac:dyDescent="0.25">
      <c r="A6" s="124" t="s">
        <v>111</v>
      </c>
      <c r="B6" s="125" t="s">
        <v>112</v>
      </c>
      <c r="C6" s="125" t="s">
        <v>113</v>
      </c>
      <c r="D6" s="125" t="s">
        <v>114</v>
      </c>
      <c r="E6" s="124" t="s">
        <v>115</v>
      </c>
    </row>
    <row r="7" spans="1:5" x14ac:dyDescent="0.25">
      <c r="A7" s="124" t="s">
        <v>116</v>
      </c>
      <c r="B7" s="125" t="s">
        <v>117</v>
      </c>
      <c r="C7" s="125" t="s">
        <v>118</v>
      </c>
      <c r="D7" s="125" t="s">
        <v>119</v>
      </c>
      <c r="E7" s="124" t="s">
        <v>120</v>
      </c>
    </row>
    <row r="8" spans="1:5" x14ac:dyDescent="0.25">
      <c r="A8" s="124" t="s">
        <v>121</v>
      </c>
      <c r="B8" s="125" t="s">
        <v>122</v>
      </c>
      <c r="C8" s="125" t="s">
        <v>123</v>
      </c>
      <c r="D8" s="125" t="s">
        <v>124</v>
      </c>
      <c r="E8" s="124" t="s">
        <v>125</v>
      </c>
    </row>
    <row r="18" spans="2:4" x14ac:dyDescent="0.25">
      <c r="B18" s="1"/>
      <c r="C18" s="1"/>
      <c r="D18" s="1"/>
    </row>
  </sheetData>
  <pageMargins left="0.7" right="0.7" top="0.75" bottom="0.75" header="0.3" footer="0.3"/>
  <tableParts count="2">
    <tablePart r:id="rId1"/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 zoomScale="100" zoomScaleNormal="100">
      <selection activeCell="J10" sqref="J10"/>
    </sheetView>
  </sheetViews>
  <sheetFormatPr defaultRowHeight="14.4" outlineLevelRow="0" outlineLevelCol="0" x14ac:dyDescent="0.3" customHeight="1"/>
  <cols>
    <col min="1" max="1" width="75" style="184" customWidth="1"/>
    <col min="3" max="3" width="32.88671875" style="184" customWidth="1"/>
    <col min="5" max="5" width="31" customWidth="1"/>
    <col min="10" max="10" width="8" customWidth="1"/>
    <col min="11" max="11" width="14.44140625" customWidth="1"/>
    <col min="12" max="12" width="19.5546875" customWidth="1"/>
    <col min="13" max="13" width="17.5546875" customWidth="1"/>
    <col min="14" max="14" width="27.109375" customWidth="1"/>
  </cols>
  <sheetData>
    <row r="1" spans="1:5" x14ac:dyDescent="0.25">
      <c r="A1" s="184" t="s">
        <v>1177</v>
      </c>
      <c r="C1" s="184" t="s">
        <v>1178</v>
      </c>
      <c r="E1" t="s">
        <v>1179</v>
      </c>
    </row>
    <row r="2" spans="1:5" x14ac:dyDescent="0.25">
      <c r="A2" s="184" t="s">
        <v>177</v>
      </c>
      <c r="C2" s="184" t="s">
        <v>177</v>
      </c>
      <c r="E2" t="s">
        <v>1180</v>
      </c>
    </row>
    <row r="3" spans="1:5" x14ac:dyDescent="0.25">
      <c r="A3" s="184" t="s">
        <v>903</v>
      </c>
      <c r="C3" s="184" t="s">
        <v>422</v>
      </c>
      <c r="E3" t="s">
        <v>1181</v>
      </c>
    </row>
    <row r="4" spans="1:5" x14ac:dyDescent="0.25">
      <c r="A4" s="184" t="s">
        <v>1182</v>
      </c>
      <c r="C4" s="184" t="s">
        <v>903</v>
      </c>
      <c r="E4" t="s">
        <v>177</v>
      </c>
    </row>
    <row r="5" spans="1:5" x14ac:dyDescent="0.25">
      <c r="A5" s="184" t="s">
        <v>1068</v>
      </c>
      <c r="C5" s="184" t="s">
        <v>1182</v>
      </c>
      <c r="E5" t="s">
        <v>417</v>
      </c>
    </row>
    <row r="6" spans="1:5" x14ac:dyDescent="0.25">
      <c r="A6" s="184" t="s">
        <v>1183</v>
      </c>
      <c r="C6" s="184" t="s">
        <v>1068</v>
      </c>
      <c r="E6" t="s">
        <v>682</v>
      </c>
    </row>
    <row r="7" spans="1:5" x14ac:dyDescent="0.25">
      <c r="A7" s="184" t="s">
        <v>1184</v>
      </c>
      <c r="C7" s="184" t="s">
        <v>1183</v>
      </c>
      <c r="E7" t="s">
        <v>1068</v>
      </c>
    </row>
    <row r="8" spans="1:5" x14ac:dyDescent="0.25">
      <c r="A8" s="184" t="s">
        <v>1185</v>
      </c>
      <c r="C8" s="184" t="s">
        <v>1184</v>
      </c>
      <c r="E8" t="s">
        <v>1183</v>
      </c>
    </row>
    <row r="9" spans="1:5" x14ac:dyDescent="0.25">
      <c r="A9" s="184" t="s">
        <v>184</v>
      </c>
      <c r="C9" s="184" t="s">
        <v>1185</v>
      </c>
      <c r="E9" t="s">
        <v>1186</v>
      </c>
    </row>
    <row r="10" spans="1:14" x14ac:dyDescent="0.25">
      <c r="A10" s="184" t="s">
        <v>1187</v>
      </c>
      <c r="C10" s="184" t="s">
        <v>184</v>
      </c>
      <c r="E10" t="s">
        <v>1188</v>
      </c>
      <c r="J10" t="s">
        <v>128</v>
      </c>
      <c r="K10" t="s">
        <v>138</v>
      </c>
      <c r="L10" t="s">
        <v>139</v>
      </c>
      <c r="M10" t="s">
        <v>140</v>
      </c>
      <c r="N10" t="s">
        <v>141</v>
      </c>
    </row>
    <row r="11" spans="1:14" x14ac:dyDescent="0.25">
      <c r="A11" s="184" t="s">
        <v>1189</v>
      </c>
      <c r="C11" s="184" t="s">
        <v>1187</v>
      </c>
      <c r="E11" t="s">
        <v>1190</v>
      </c>
      <c r="J11" s="185" t="s">
        <v>485</v>
      </c>
      <c r="K11" s="186">
        <v>26.53</v>
      </c>
      <c r="L11" s="185">
        <v>46099</v>
      </c>
      <c r="M11" s="187">
        <v>53.06</v>
      </c>
      <c r="N11" s="187">
        <v>63.672</v>
      </c>
    </row>
    <row r="12" spans="1:14" x14ac:dyDescent="0.25">
      <c r="A12" s="184" t="s">
        <v>825</v>
      </c>
      <c r="C12" s="184" t="s">
        <v>1189</v>
      </c>
      <c r="E12" t="s">
        <v>1191</v>
      </c>
      <c r="J12" s="188" t="s">
        <v>950</v>
      </c>
      <c r="K12" s="189">
        <v>16.39</v>
      </c>
      <c r="L12" s="188">
        <v>46218</v>
      </c>
      <c r="M12" s="190">
        <v>32.78</v>
      </c>
      <c r="N12" s="190">
        <v>39.336</v>
      </c>
    </row>
    <row r="13" spans="1:5" x14ac:dyDescent="0.25">
      <c r="A13" s="184" t="s">
        <v>476</v>
      </c>
      <c r="C13" s="184" t="s">
        <v>825</v>
      </c>
      <c r="E13" t="s">
        <v>1192</v>
      </c>
    </row>
    <row r="14" spans="1:5" x14ac:dyDescent="0.25">
      <c r="A14" s="184" t="s">
        <v>1193</v>
      </c>
      <c r="C14" s="184" t="s">
        <v>476</v>
      </c>
      <c r="E14" t="s">
        <v>1185</v>
      </c>
    </row>
    <row r="15" spans="1:5" x14ac:dyDescent="0.25">
      <c r="A15" s="184" t="s">
        <v>1194</v>
      </c>
      <c r="C15" s="184" t="s">
        <v>1193</v>
      </c>
      <c r="E15" t="s">
        <v>228</v>
      </c>
    </row>
    <row r="16" spans="1:5" x14ac:dyDescent="0.25">
      <c r="A16" s="184" t="s">
        <v>1195</v>
      </c>
      <c r="C16" s="184" t="s">
        <v>1194</v>
      </c>
      <c r="E16" t="s">
        <v>184</v>
      </c>
    </row>
    <row r="17" spans="1:5" x14ac:dyDescent="0.25">
      <c r="A17" s="184" t="s">
        <v>1196</v>
      </c>
      <c r="C17" s="184" t="s">
        <v>1195</v>
      </c>
      <c r="E17" t="s">
        <v>1197</v>
      </c>
    </row>
    <row r="18" spans="1:5" x14ac:dyDescent="0.25">
      <c r="A18" s="184" t="s">
        <v>1198</v>
      </c>
      <c r="C18" s="184" t="s">
        <v>1196</v>
      </c>
      <c r="E18" t="s">
        <v>1187</v>
      </c>
    </row>
    <row r="19" spans="1:5" x14ac:dyDescent="0.25">
      <c r="A19" s="184" t="s">
        <v>408</v>
      </c>
      <c r="C19" s="184" t="s">
        <v>1198</v>
      </c>
      <c r="E19" t="s">
        <v>1199</v>
      </c>
    </row>
    <row r="20" spans="1:5" x14ac:dyDescent="0.25">
      <c r="A20" s="184" t="s">
        <v>1200</v>
      </c>
      <c r="C20" s="184" t="s">
        <v>408</v>
      </c>
      <c r="E20" t="s">
        <v>1201</v>
      </c>
    </row>
    <row r="21" spans="1:5" x14ac:dyDescent="0.25">
      <c r="A21" s="184" t="s">
        <v>389</v>
      </c>
      <c r="C21" s="184" t="s">
        <v>851</v>
      </c>
      <c r="E21" t="s">
        <v>1202</v>
      </c>
    </row>
    <row r="22" spans="1:5" x14ac:dyDescent="0.25">
      <c r="A22" s="184" t="s">
        <v>593</v>
      </c>
      <c r="C22" s="184" t="s">
        <v>1200</v>
      </c>
      <c r="E22" t="s">
        <v>1203</v>
      </c>
    </row>
    <row r="23" spans="1:5" x14ac:dyDescent="0.25">
      <c r="A23" s="184" t="s">
        <v>858</v>
      </c>
      <c r="C23" s="184" t="s">
        <v>389</v>
      </c>
      <c r="E23" t="s">
        <v>1204</v>
      </c>
    </row>
    <row r="24" spans="1:5" x14ac:dyDescent="0.25">
      <c r="A24" s="184" t="s">
        <v>1205</v>
      </c>
      <c r="C24" s="184" t="s">
        <v>593</v>
      </c>
      <c r="E24" t="s">
        <v>1206</v>
      </c>
    </row>
    <row r="25" spans="1:5" x14ac:dyDescent="0.25">
      <c r="A25" s="184" t="s">
        <v>1207</v>
      </c>
      <c r="C25" s="184" t="s">
        <v>858</v>
      </c>
      <c r="E25" t="s">
        <v>1189</v>
      </c>
    </row>
    <row r="26" spans="1:5" x14ac:dyDescent="0.25">
      <c r="A26" s="184" t="s">
        <v>964</v>
      </c>
      <c r="C26" s="184" t="s">
        <v>1205</v>
      </c>
      <c r="E26" t="s">
        <v>825</v>
      </c>
    </row>
    <row r="27" spans="1:5" x14ac:dyDescent="0.25">
      <c r="A27" s="184" t="s">
        <v>1208</v>
      </c>
      <c r="C27" s="184" t="s">
        <v>1207</v>
      </c>
      <c r="E27" t="s">
        <v>476</v>
      </c>
    </row>
    <row r="28" spans="1:5" x14ac:dyDescent="0.25">
      <c r="A28" s="184" t="s">
        <v>1209</v>
      </c>
      <c r="C28" s="184" t="s">
        <v>964</v>
      </c>
      <c r="E28" t="s">
        <v>1210</v>
      </c>
    </row>
    <row r="29" spans="1:5" x14ac:dyDescent="0.25">
      <c r="A29" s="184" t="s">
        <v>1211</v>
      </c>
      <c r="C29" s="184" t="s">
        <v>1208</v>
      </c>
      <c r="E29" t="s">
        <v>1212</v>
      </c>
    </row>
    <row r="30" spans="1:5" x14ac:dyDescent="0.25">
      <c r="A30" s="184" t="s">
        <v>1213</v>
      </c>
      <c r="C30" s="184" t="s">
        <v>1209</v>
      </c>
      <c r="E30" t="s">
        <v>1214</v>
      </c>
    </row>
    <row r="31" spans="1:5" x14ac:dyDescent="0.25">
      <c r="A31" s="184" t="s">
        <v>1215</v>
      </c>
      <c r="C31" s="184" t="s">
        <v>1211</v>
      </c>
      <c r="E31" t="s">
        <v>1216</v>
      </c>
    </row>
    <row r="32" spans="1:5" x14ac:dyDescent="0.25">
      <c r="A32" s="184" t="s">
        <v>1217</v>
      </c>
      <c r="C32" s="184" t="s">
        <v>1213</v>
      </c>
      <c r="E32" t="s">
        <v>1194</v>
      </c>
    </row>
    <row r="33" spans="1:5" x14ac:dyDescent="0.25">
      <c r="A33" s="184" t="s">
        <v>1218</v>
      </c>
      <c r="C33" s="184" t="s">
        <v>1215</v>
      </c>
      <c r="E33" t="s">
        <v>1219</v>
      </c>
    </row>
    <row r="34" spans="1:5" x14ac:dyDescent="0.25">
      <c r="A34" s="184" t="s">
        <v>1220</v>
      </c>
      <c r="C34" s="184" t="s">
        <v>1217</v>
      </c>
      <c r="E34" t="s">
        <v>1196</v>
      </c>
    </row>
    <row r="35" spans="1:5" x14ac:dyDescent="0.25">
      <c r="A35" s="184" t="s">
        <v>831</v>
      </c>
      <c r="C35" s="184" t="s">
        <v>1218</v>
      </c>
      <c r="E35" t="s">
        <v>1221</v>
      </c>
    </row>
    <row r="36" spans="1:5" x14ac:dyDescent="0.25">
      <c r="A36" s="184" t="s">
        <v>392</v>
      </c>
      <c r="C36" s="184" t="s">
        <v>1220</v>
      </c>
      <c r="E36" t="s">
        <v>1222</v>
      </c>
    </row>
    <row r="37" spans="1:5" x14ac:dyDescent="0.25">
      <c r="A37" s="184" t="s">
        <v>443</v>
      </c>
      <c r="C37" s="184" t="s">
        <v>454</v>
      </c>
      <c r="E37" t="s">
        <v>1198</v>
      </c>
    </row>
    <row r="38" spans="1:5" x14ac:dyDescent="0.25">
      <c r="A38" s="184" t="s">
        <v>737</v>
      </c>
      <c r="C38" s="184" t="s">
        <v>831</v>
      </c>
      <c r="E38" t="s">
        <v>408</v>
      </c>
    </row>
    <row r="39" spans="1:5" x14ac:dyDescent="0.25">
      <c r="A39" s="184" t="s">
        <v>1223</v>
      </c>
      <c r="C39" s="184" t="s">
        <v>392</v>
      </c>
      <c r="E39" t="s">
        <v>1224</v>
      </c>
    </row>
    <row r="40" spans="1:5" x14ac:dyDescent="0.25">
      <c r="A40" s="184" t="s">
        <v>1225</v>
      </c>
      <c r="C40" s="184" t="s">
        <v>1226</v>
      </c>
      <c r="E40" t="s">
        <v>389</v>
      </c>
    </row>
    <row r="41" spans="3:5" x14ac:dyDescent="0.25">
      <c r="C41" s="184" t="s">
        <v>443</v>
      </c>
      <c r="E41" t="s">
        <v>1227</v>
      </c>
    </row>
    <row r="42" spans="3:5" x14ac:dyDescent="0.25">
      <c r="C42" s="184" t="s">
        <v>737</v>
      </c>
      <c r="E42" t="s">
        <v>593</v>
      </c>
    </row>
    <row r="43" spans="3:5" x14ac:dyDescent="0.25">
      <c r="C43" s="184" t="s">
        <v>1223</v>
      </c>
      <c r="E43" t="s">
        <v>1228</v>
      </c>
    </row>
    <row r="44" spans="3:5" x14ac:dyDescent="0.25">
      <c r="C44" s="184" t="s">
        <v>1225</v>
      </c>
      <c r="E44" t="s">
        <v>1229</v>
      </c>
    </row>
    <row r="45" spans="5:5" x14ac:dyDescent="0.25">
      <c r="E45" t="s">
        <v>1230</v>
      </c>
    </row>
    <row r="46" spans="5:5" x14ac:dyDescent="0.25">
      <c r="E46" t="s">
        <v>173</v>
      </c>
    </row>
    <row r="47" spans="5:5" x14ac:dyDescent="0.25">
      <c r="E47" t="s">
        <v>1231</v>
      </c>
    </row>
    <row r="48" spans="5:5" x14ac:dyDescent="0.25">
      <c r="E48" t="s">
        <v>1207</v>
      </c>
    </row>
    <row r="49" spans="5:5" x14ac:dyDescent="0.25">
      <c r="E49" t="s">
        <v>1232</v>
      </c>
    </row>
    <row r="50" spans="5:5" x14ac:dyDescent="0.25">
      <c r="E50" t="s">
        <v>1233</v>
      </c>
    </row>
    <row r="51" spans="5:5" x14ac:dyDescent="0.25">
      <c r="E51" t="s">
        <v>964</v>
      </c>
    </row>
    <row r="52" spans="5:5" x14ac:dyDescent="0.25">
      <c r="E52" t="s">
        <v>1234</v>
      </c>
    </row>
    <row r="53" spans="5:5" x14ac:dyDescent="0.25">
      <c r="E53" t="s">
        <v>1211</v>
      </c>
    </row>
    <row r="54" spans="5:5" x14ac:dyDescent="0.25">
      <c r="E54" t="s">
        <v>1213</v>
      </c>
    </row>
    <row r="55" spans="5:5" x14ac:dyDescent="0.25">
      <c r="E55" t="s">
        <v>1235</v>
      </c>
    </row>
    <row r="56" spans="5:5" x14ac:dyDescent="0.25">
      <c r="E56" t="s">
        <v>1236</v>
      </c>
    </row>
    <row r="57" spans="5:5" x14ac:dyDescent="0.25">
      <c r="E57" t="s">
        <v>1217</v>
      </c>
    </row>
    <row r="58" spans="5:5" x14ac:dyDescent="0.25">
      <c r="E58" t="s">
        <v>1237</v>
      </c>
    </row>
    <row r="59" spans="5:5" x14ac:dyDescent="0.25">
      <c r="E59" t="s">
        <v>454</v>
      </c>
    </row>
    <row r="60" spans="5:5" x14ac:dyDescent="0.25">
      <c r="E60" t="s">
        <v>831</v>
      </c>
    </row>
    <row r="61" spans="5:5" x14ac:dyDescent="0.25">
      <c r="E61" t="s">
        <v>392</v>
      </c>
    </row>
    <row r="62" spans="5:5" x14ac:dyDescent="0.25">
      <c r="E62" t="s">
        <v>1238</v>
      </c>
    </row>
    <row r="63" spans="5:5" x14ac:dyDescent="0.25">
      <c r="E63" t="s">
        <v>1239</v>
      </c>
    </row>
    <row r="64" spans="5:5" x14ac:dyDescent="0.25">
      <c r="E64" t="s">
        <v>1240</v>
      </c>
    </row>
    <row r="65" spans="5:5" x14ac:dyDescent="0.25">
      <c r="E65" t="s">
        <v>1241</v>
      </c>
    </row>
    <row r="66" spans="5:5" x14ac:dyDescent="0.25">
      <c r="E66" t="s">
        <v>425</v>
      </c>
    </row>
    <row r="67" spans="5:5" x14ac:dyDescent="0.25">
      <c r="E67" t="s">
        <v>502</v>
      </c>
    </row>
    <row r="68" spans="5:5" x14ac:dyDescent="0.25">
      <c r="E68" t="s">
        <v>1242</v>
      </c>
    </row>
    <row r="69" spans="5:5" x14ac:dyDescent="0.25">
      <c r="E69" t="s">
        <v>1243</v>
      </c>
    </row>
    <row r="70" spans="5:5" x14ac:dyDescent="0.25">
      <c r="E70" t="s">
        <v>382</v>
      </c>
    </row>
    <row r="71" spans="5:5" x14ac:dyDescent="0.25">
      <c r="E71" t="s">
        <v>209</v>
      </c>
    </row>
    <row r="72" spans="5:5" x14ac:dyDescent="0.25">
      <c r="E72" t="s">
        <v>737</v>
      </c>
    </row>
    <row r="73" spans="5:5" x14ac:dyDescent="0.25">
      <c r="E73" t="s">
        <v>1244</v>
      </c>
    </row>
    <row r="74" spans="5:5" x14ac:dyDescent="0.25">
      <c r="E74" t="s">
        <v>721</v>
      </c>
    </row>
    <row r="75" spans="5:5" x14ac:dyDescent="0.25">
      <c r="E75" t="s">
        <v>1225</v>
      </c>
    </row>
    <row r="76" spans="5:5" x14ac:dyDescent="0.25">
      <c r="E76" t="s">
        <v>1245</v>
      </c>
    </row>
    <row r="77" spans="5:5" x14ac:dyDescent="0.25">
      <c r="E77" t="s">
        <v>1246</v>
      </c>
    </row>
    <row r="78" spans="5:5" x14ac:dyDescent="0.25">
      <c r="E78" t="s">
        <v>1247</v>
      </c>
    </row>
  </sheetData>
  <conditionalFormatting sqref="J11:N12">
    <cfRule type="containsBlanks" dxfId="13" priority="2" operator="containsBlanks">
      <formula>LEN(TRIM(J11))=0</formula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KPIs</vt:lpstr>
      <vt:lpstr>Trésorerie &amp; Salaire</vt:lpstr>
      <vt:lpstr>Seuils CA-ARE</vt:lpstr>
      <vt:lpstr>Article-level</vt:lpstr>
      <vt:lpstr>Dépenses</vt:lpstr>
      <vt:lpstr>Calculs Lots</vt:lpstr>
      <vt:lpstr>Calculs VC</vt:lpstr>
      <vt:lpstr>Sheet2</vt:lpstr>
      <vt:lpstr>CRM Suivi</vt:lpstr>
      <vt:lpstr>CRM Annonces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Ortist Music</dc:creator>
  <dc:title/>
  <dc:subject/>
  <dc:description/>
  <cp:keywords/>
  <cp:category/>
  <cp:lastModifiedBy>Ortist Music</cp:lastModifiedBy>
  <cp:lastPrinted>2026-02-05T11:28:15Z</cp:lastPrinted>
  <cp:contentStatus/>
  <dcterms:created xsi:type="dcterms:W3CDTF">2025-07-03T07:33:28Z</dcterms:created>
  <dcterms:modified xsi:type="dcterms:W3CDTF">2026-10-08T10:21:30Z</dcterms:modified>
</cp:coreProperties>
</file>